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781f3b227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M review" sheetId="1" r:id="Rae4d10eb25204c8b"/>
    <x:sheet xmlns:r="http://schemas.openxmlformats.org/officeDocument/2006/relationships" name="Controls" sheetId="2" r:id="R1b4fe6101422408b"/>
    <x:sheet xmlns:r="http://schemas.openxmlformats.org/officeDocument/2006/relationships" name="Benefits" sheetId="3" r:id="Rbd4e9440f9154751"/>
    <x:sheet xmlns:r="http://schemas.openxmlformats.org/officeDocument/2006/relationships" name="Curve" sheetId="4" r:id="R67a1a4641f4745b6"/>
    <x:sheet xmlns:r="http://schemas.openxmlformats.org/officeDocument/2006/relationships" name="Runoff" sheetId="5" r:id="R6e5cc4d2d9a44d29"/>
    <x:sheet xmlns:r="http://schemas.openxmlformats.org/officeDocument/2006/relationships" name="Historical" sheetId="6" r:id="R22febb11ff374be0"/>
    <x:sheet xmlns:r="http://schemas.openxmlformats.org/officeDocument/2006/relationships" name="Sources" sheetId="7" r:id="R1f10fa84678040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7">
    <x:numFmt numFmtId="200" formatCode="dd-mmm-yyyy"/>
    <x:numFmt numFmtId="201" formatCode="0.00000000"/>
    <x:numFmt numFmtId="202" formatCode="0.000000"/>
    <x:numFmt numFmtId="203" formatCode="[&gt;=0.005]#,##0.00;[&lt;=-0.005](#,##0.00);&quot;-&quot;"/>
    <x:numFmt numFmtId="204" formatCode="0.000000%"/>
    <x:numFmt numFmtId="205" formatCode="0.000000000000"/>
    <x:numFmt numFmtId="206" formatCode="0.00"/>
    <x:numFmt numFmtId="207" formatCode="0.0%"/>
    <x:numFmt numFmtId="208" formatCode="0.00%"/>
    <x:numFmt numFmtId="209" formatCode="  @"/>
    <x:numFmt numFmtId="210" formatCode="0.0000%"/>
    <x:numFmt numFmtId="211" formatCode="0.0000;(0.0000);0.0000"/>
    <x:numFmt numFmtId="212" formatCode="0.0000&quot;x&quot;"/>
    <x:numFmt numFmtId="213" formatCode="[&gt;=0.005]0.00;[&lt;=-0.005](0.00);0.00"/>
    <x:numFmt numFmtId="214" formatCode="mmm-yy"/>
    <x:numFmt numFmtId="215" formatCode="0.0000000000"/>
    <x:numFmt numFmtId="216" formatCode="0.0000"/>
  </x:numFmts>
  <x:fonts count="9">
    <x:font>
      <x:sz val="11"/>
      <x:name val="Carlito"/>
    </x:font>
    <x:font>
      <x:sz val="10"/>
      <x:color rgb="FF172B3A"/>
      <x:name val="Arial"/>
    </x:font>
    <x:font>
      <x:b/>
      <x:sz val="14"/>
      <x:color rgb="FF193B58"/>
      <x:name val="Arial"/>
    </x:font>
    <x:font>
      <x:sz val="10"/>
      <x:color rgb="FF008000"/>
      <x:name val="Arial"/>
    </x:font>
    <x:font>
      <x:b/>
      <x:sz val="10"/>
      <x:color rgb="FFFFFFFF"/>
      <x:name val="Arial"/>
    </x:font>
    <x:font>
      <x:i/>
      <x:sz val="10"/>
      <x:color rgb="FF526475"/>
      <x:name val="Arial"/>
    </x:font>
    <x:font>
      <x:sz val="10"/>
      <x:color rgb="FF0000FF"/>
      <x:name val="Arial"/>
    </x:font>
    <x:font>
      <x:b/>
      <x:sz val="10"/>
      <x:color rgb="FF193B58"/>
      <x:name val="Arial"/>
    </x:font>
    <x:font>
      <x:b/>
      <x:sz val="12"/>
      <x:color rgb="FF193B5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B58"/>
      </x:patternFill>
    </x:fill>
    <x:fill>
      <x:patternFill patternType="solid">
        <x:fgColor rgb="FFEDF3F8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thin">
        <x:color rgb="FFA4B2BE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B9C5CF"/>
      </x:top>
      <x:bottom/>
      <x:diagonal/>
    </x:border>
    <x:border>
      <x:left/>
      <x:right/>
      <x:top/>
      <x:bottom style="thin">
        <x:color rgb="FFCAD3DB"/>
      </x:bottom>
      <x:diagonal/>
    </x:border>
  </x:borders>
  <x:cellStyleXfs count="1">
    <x:xf numFmtId="0" fontId="0" fillId="0" borderId="0"/>
  </x:cellStyleXfs>
  <x:cellXfs count="6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vertical="center"/>
    </x:xf>
    <x:xf numFmtId="204" fontId="6" fillId="0" borderId="0" xfId="0" applyNumberFormat="1" applyFont="1" applyFill="1" applyBorder="1" applyAlignment="1">
      <x:alignment vertical="center"/>
    </x:xf>
    <x:xf numFmtId="205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3" fontId="6" fillId="3" borderId="0" xfId="0" applyNumberFormat="1" applyFont="1" applyFill="1" applyBorder="1" applyAlignment="1">
      <x:alignment vertical="center"/>
    </x:xf>
    <x:xf numFmtId="206" fontId="6" fillId="3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6" fillId="3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8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203" fontId="1" fillId="0" borderId="0" xfId="0" applyNumberFormat="1" applyFont="1" applyFill="1" applyBorder="1" applyAlignment="1">
      <x:alignment horizontal="center" vertical="center"/>
    </x:xf>
    <x:xf numFmtId="206" fontId="1" fillId="0" borderId="0" xfId="0" applyNumberFormat="1" applyFont="1" applyFill="1" applyBorder="1" applyAlignment="1">
      <x:alignment horizontal="center" vertical="center"/>
    </x:xf>
    <x:xf numFmtId="207" fontId="1" fillId="0" borderId="0" xfId="0" applyNumberFormat="1" applyFont="1" applyFill="1" applyBorder="1" applyAlignment="1">
      <x:alignment horizontal="center" vertical="center"/>
    </x:xf>
    <x:xf numFmtId="209" fontId="1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10" fontId="3" fillId="0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11" fontId="1" fillId="0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212" fontId="1" fillId="0" borderId="0" xfId="0" applyNumberFormat="1" applyFont="1" applyFill="1" applyBorder="1" applyAlignment="1">
      <x:alignment vertical="center"/>
    </x:xf>
    <x:xf numFmtId="203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3" fontId="7" fillId="3" borderId="0" xfId="0" applyNumberFormat="1" applyFont="1" applyFill="1" applyBorder="1" applyAlignment="1">
      <x:alignment vertical="center"/>
    </x:xf>
    <x:xf numFmtId="0" fontId="7" fillId="3" borderId="5" xfId="0" applyNumberFormat="1" applyFont="1" applyFill="1" applyBorder="1" applyAlignment="1">
      <x:alignment vertical="center"/>
    </x:xf>
    <x:xf numFmtId="203" fontId="7" fillId="3" borderId="5" xfId="0" applyNumberFormat="1" applyFont="1" applyFill="1" applyBorder="1" applyAlignment="1">
      <x:alignment vertical="center"/>
    </x:xf>
    <x:xf numFmtId="213" fontId="1" fillId="0" borderId="0" xfId="0" applyNumberFormat="1" applyFont="1" applyFill="1" applyBorder="1" applyAlignment="1">
      <x:alignment vertical="center"/>
    </x:xf>
    <x:xf numFmtId="214" fontId="1" fillId="0" borderId="0" xfId="0" applyNumberFormat="1" applyFont="1" applyFill="1" applyBorder="1" applyAlignment="1">
      <x:alignment vertical="center"/>
    </x:xf>
    <x:xf numFmtId="215" fontId="1" fillId="0" borderId="0" xfId="0" applyNumberFormat="1" applyFont="1" applyFill="1" applyBorder="1" applyAlignment="1">
      <x:alignment vertical="center"/>
    </x:xf>
    <x:xf numFmtId="214" fontId="6" fillId="0" borderId="0" xfId="0" applyNumberFormat="1" applyFont="1" applyFill="1" applyBorder="1" applyAlignment="1">
      <x:alignment vertical="center"/>
    </x:xf>
    <x:xf numFmtId="215" fontId="6" fillId="0" borderId="0" xfId="0" applyNumberFormat="1" applyFont="1" applyFill="1" applyBorder="1" applyAlignment="1">
      <x:alignment vertical="center"/>
    </x:xf>
    <x:xf numFmtId="216" fontId="1" fillId="0" borderId="0" xfId="0" applyNumberFormat="1" applyFont="1" applyFill="1" applyBorder="1" applyAlignment="1">
      <x:alignment vertical="center"/>
    </x:xf>
    <x:xf numFmtId="203" fontId="8" fillId="0" borderId="0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203" fontId="8" fillId="0" borderId="6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9C0006"/>
      </x:font>
      <x:fill>
        <x:patternFill patternType="solid">
          <x:bgColor rgb="FFFCE8E6"/>
        </x:patternFill>
      </x:fill>
    </x:dxf>
    <x:dxf>
      <x:font>
        <x:b/>
        <x:color rgb="FF9C0006"/>
      </x:font>
      <x:fill>
        <x:patternFill patternType="solid">
          <x:bgColor rgb="FFFCE8E6"/>
        </x:patternFill>
      </x:fill>
    </x:dxf>
    <x:dxf>
      <x:font>
        <x:b/>
        <x:color rgb="FF9C0006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f63fe85af4217" /><Relationship Type="http://schemas.openxmlformats.org/officeDocument/2006/relationships/theme" Target="/xl/theme/theme1.xml" Id="R0d508b82a6824aa7" /><Relationship Type="http://schemas.openxmlformats.org/officeDocument/2006/relationships/sharedStrings" Target="/xl/sharedStrings.xml" Id="R6186a95312e54769" /><Relationship Type="http://schemas.openxmlformats.org/officeDocument/2006/relationships/worksheet" Target="/xl/worksheets/sheet1.xml" Id="Rae4d10eb25204c8b" /><Relationship Type="http://schemas.openxmlformats.org/officeDocument/2006/relationships/worksheet" Target="/xl/worksheets/sheet2.xml" Id="R1b4fe6101422408b" /><Relationship Type="http://schemas.openxmlformats.org/officeDocument/2006/relationships/worksheet" Target="/xl/worksheets/sheet3.xml" Id="Rbd4e9440f9154751" /><Relationship Type="http://schemas.openxmlformats.org/officeDocument/2006/relationships/worksheet" Target="/xl/worksheets/sheet4.xml" Id="R67a1a4641f4745b6" /><Relationship Type="http://schemas.openxmlformats.org/officeDocument/2006/relationships/worksheet" Target="/xl/worksheets/sheet5.xml" Id="R6e5cc4d2d9a44d29" /><Relationship Type="http://schemas.openxmlformats.org/officeDocument/2006/relationships/worksheet" Target="/xl/worksheets/sheet6.xml" Id="R22febb11ff374be0" /><Relationship Type="http://schemas.openxmlformats.org/officeDocument/2006/relationships/worksheet" Target="/xl/worksheets/sheet7.xml" Id="R1f10fa84678040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93B58"/>
  </x:sheetPr>
  <x:sheetViews>
    <x:sheetView showGridLines="0" workbookViewId="0"/>
  </x:sheetViews>
  <x:sheetFormatPr defaultRowHeight="15"/>
  <x:cols>
    <x:col min="1" max="1" width="3" hidden="0" customWidth="1"/>
    <x:col min="2" max="2" width="2" hidden="0" customWidth="1"/>
    <x:col min="3" max="3" width="34" hidden="0" customWidth="1"/>
    <x:col min="4" max="4" width="21" hidden="0" customWidth="1"/>
    <x:col min="5" max="5" width="3" hidden="0" customWidth="1"/>
    <x:col min="6" max="6" width="3" hidden="0" customWidth="1"/>
    <x:col min="7" max="7" width="36" hidden="0" customWidth="1"/>
    <x:col min="8" max="8" width="22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2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0" customHeight="1">
      <x:c r="A2" s="2"/>
      <x:c r="B2" s="2"/>
      <x:c r="C2" s="4" t="str">
        <x:v>Treasury ALM valuation and liquidity</x:v>
      </x:c>
      <x:c r="D2" s="5"/>
      <x:c r="E2" s="5"/>
      <x:c r="F2" s="5"/>
      <x:c r="G2" s="5"/>
      <x:c r="H2" s="5"/>
      <x:c r="I2" s="5"/>
      <x:c r="J2" s="5"/>
      <x:c r="K2" s="5"/>
    </x:row>
    <x:row r="3" ht="20" customHeight="1">
      <x:c r="A3" s="2"/>
      <x:c r="B3" s="2"/>
      <x:c r="C3" s="2" t="str">
        <x:v>Current curve date</x:v>
      </x:c>
      <x:c r="D3" s="7" t="n">
        <x:f>'Sources'!D4</x:f>
        <x:v>46295</x:v>
      </x:c>
      <x:c r="E3" s="2"/>
      <x:c r="F3" s="2"/>
      <x:c r="G3" s="2" t="str">
        <x:v>Selected fixed portfolio</x:v>
      </x:c>
      <x:c r="H3" s="6" t="str">
        <x:f>INDEX('Sources'!$H$7:$K$7,1,'Controls'!$F$4)</x:f>
        <x:v>Covariance hedge</x:v>
      </x:c>
      <x:c r="I3" s="2"/>
      <x:c r="J3" s="2"/>
      <x:c r="K3" s="2"/>
    </x:row>
    <x:row r="4" ht="20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4" customHeight="1">
      <x:c r="A5" s="2"/>
      <x:c r="B5" s="2"/>
      <x:c r="C5" s="50" t="str">
        <x:v>Instantaneous balance sheet</x:v>
      </x:c>
      <x:c r="D5" s="50"/>
      <x:c r="E5" s="2"/>
      <x:c r="F5" s="2"/>
      <x:c r="G5" s="50" t="str">
        <x:v>Ten-year expected runoff</x:v>
      </x:c>
      <x:c r="H5" s="50"/>
      <x:c r="I5" s="2"/>
      <x:c r="J5" s="2"/>
      <x:c r="K5" s="2"/>
    </x:row>
    <x:row r="6" ht="2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0" customHeight="1">
      <x:c r="A7" s="2"/>
      <x:c r="B7" s="2"/>
      <x:c r="C7" s="2" t="str">
        <x:v>Liability PV (USD)</x:v>
      </x:c>
      <x:c r="D7" s="21" t="n">
        <x:f>'Benefits'!D129</x:f>
        <x:v>119380495.42258865</x:v>
      </x:c>
      <x:c r="E7" s="2"/>
      <x:c r="F7" s="2"/>
      <x:c r="G7" s="2" t="str">
        <x:v>Gross bond sales (USD)</x:v>
      </x:c>
      <x:c r="H7" s="21" t="n">
        <x:f>SUM('Runoff'!D25:M25)</x:f>
        <x:v>25582963.79263182</x:v>
      </x:c>
      <x:c r="I7" s="2"/>
      <x:c r="J7" s="2"/>
      <x:c r="K7" s="2"/>
    </x:row>
    <x:row r="8" ht="20" customHeight="1">
      <x:c r="A8" s="2"/>
      <x:c r="B8" s="2"/>
      <x:c r="C8" s="2" t="str">
        <x:v>Fixed asset PV (USD)</x:v>
      </x:c>
      <x:c r="D8" s="21" t="n">
        <x:f>'Benefits'!D136</x:f>
        <x:v>119380495.42258862</x:v>
      </x:c>
      <x:c r="E8" s="2"/>
      <x:c r="F8" s="2"/>
      <x:c r="G8" s="2" t="str">
        <x:v>Nominal haircut losses (USD)</x:v>
      </x:c>
      <x:c r="H8" s="21" t="n">
        <x:f>SUM('Runoff'!D26:M26)</x:f>
        <x:v>0</x:v>
      </x:c>
      <x:c r="I8" s="2"/>
      <x:c r="J8" s="2"/>
      <x:c r="K8" s="2"/>
    </x:row>
    <x:row r="9" ht="20" customHeight="1">
      <x:c r="A9" s="2"/>
      <x:c r="B9" s="2"/>
      <x:c r="C9" s="65" t="str">
        <x:v>Surplus (USD)</x:v>
      </x:c>
      <x:c r="D9" s="66" t="n">
        <x:f>'Benefits'!D137</x:f>
        <x:v>-2.9802322387695312e-8</x:v>
      </x:c>
      <x:c r="E9" s="2"/>
      <x:c r="F9" s="2"/>
      <x:c r="G9" s="2" t="str">
        <x:v>Nominal benefits unpaid (USD)</x:v>
      </x:c>
      <x:c r="H9" s="21" t="n">
        <x:f>SUM('Runoff'!D28:M28)</x:f>
        <x:v>0</x:v>
      </x:c>
      <x:c r="I9" s="2"/>
      <x:c r="J9" s="2"/>
      <x:c r="K9" s="2"/>
    </x:row>
    <x:row r="10" ht="20" customHeight="1">
      <x:c r="A10" s="2"/>
      <x:c r="B10" s="2"/>
      <x:c r="C10" s="2"/>
      <x:c r="D10" s="21"/>
      <x:c r="E10" s="2"/>
      <x:c r="F10" s="2"/>
      <x:c r="G10" s="2"/>
      <x:c r="H10" s="21"/>
      <x:c r="I10" s="2"/>
      <x:c r="J10" s="2"/>
      <x:c r="K10" s="2"/>
    </x:row>
    <x:row r="11" ht="20" customHeight="1">
      <x:c r="A11" s="2"/>
      <x:c r="B11" s="2"/>
      <x:c r="C11" s="2" t="str">
        <x:v>Liability duration (years)</x:v>
      </x:c>
      <x:c r="D11" s="20" t="n">
        <x:f>'Benefits'!D130</x:f>
        <x:v>8.473572565547478</x:v>
      </x:c>
      <x:c r="E11" s="2"/>
      <x:c r="F11" s="2"/>
      <x:c r="G11" s="2" t="str">
        <x:v>Year 10 assets (USD)</x:v>
      </x:c>
      <x:c r="H11" s="21" t="n">
        <x:f>'Runoff'!M40</x:f>
        <x:v>63424581.01913032</x:v>
      </x:c>
      <x:c r="I11" s="2"/>
      <x:c r="J11" s="2"/>
      <x:c r="K11" s="2"/>
    </x:row>
    <x:row r="12" ht="20" customHeight="1">
      <x:c r="A12" s="2"/>
      <x:c r="B12" s="2"/>
      <x:c r="C12" s="2" t="str">
        <x:v>DV01 (USD/bp)</x:v>
      </x:c>
      <x:c r="D12" s="21" t="n">
        <x:f>'Benefits'!D132</x:f>
        <x:v>101157.92908743133</x:v>
      </x:c>
      <x:c r="E12" s="2"/>
      <x:c r="F12" s="2"/>
      <x:c r="G12" s="2" t="str">
        <x:v>Year 10 expected liability (USD)</x:v>
      </x:c>
      <x:c r="H12" s="21" t="n">
        <x:f>'Runoff'!M41</x:f>
        <x:v>63424581.019130394</x:v>
      </x:c>
      <x:c r="I12" s="2"/>
      <x:c r="J12" s="2"/>
      <x:c r="K12" s="2"/>
    </x:row>
    <x:row r="13" ht="20" customHeight="1">
      <x:c r="A13" s="2"/>
      <x:c r="B13" s="2"/>
      <x:c r="C13" s="2" t="str">
        <x:v>Convexity (years squared)</x:v>
      </x:c>
      <x:c r="D13" s="20" t="n">
        <x:f>'Benefits'!D131</x:f>
        <x:v>113.75899853395335</x:v>
      </x:c>
      <x:c r="E13" s="2"/>
      <x:c r="F13" s="2"/>
      <x:c r="G13" s="2" t="str">
        <x:v>Year 10 unpaid carried (USD)</x:v>
      </x:c>
      <x:c r="H13" s="21" t="n">
        <x:f>'Runoff'!M42</x:f>
        <x:v>0</x:v>
      </x:c>
      <x:c r="I13" s="2"/>
      <x:c r="J13" s="2"/>
      <x:c r="K13" s="2"/>
    </x:row>
    <x:row r="14" ht="20" customHeight="1">
      <x:c r="A14" s="2"/>
      <x:c r="B14" s="2"/>
      <x:c r="C14" s="2" t="str">
        <x:v>PV after 30 years</x:v>
      </x:c>
      <x:c r="D14" s="45" t="n">
        <x:f>'Benefits'!D134</x:f>
        <x:v>0.004886904318803979</x:v>
      </x:c>
      <x:c r="E14" s="2"/>
      <x:c r="F14" s="2"/>
      <x:c r="G14" s="65" t="str">
        <x:v>Year 10 surplus after unpaid (USD)</x:v>
      </x:c>
      <x:c r="H14" s="66" t="n">
        <x:f>'Runoff'!M43</x:f>
        <x:v>-7.450580596923828e-8</x:v>
      </x:c>
      <x:c r="I14" s="2"/>
      <x:c r="J14" s="2"/>
      <x:c r="K14" s="2"/>
    </x:row>
    <x:row r="15" ht="2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2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34" customHeight="1">
      <x:c r="A17" s="2"/>
      <x:c r="B17" s="2"/>
      <x:c r="C17" s="17" t="str">
        <x:v>Key maturity</x:v>
      </x:c>
      <x:c r="D17" s="19" t="str">
        <x:v>Liability DV01</x:v>
      </x:c>
      <x:c r="E17" s="2"/>
      <x:c r="F17" s="2"/>
      <x:c r="G17" s="17" t="str">
        <x:v>Asset DV01</x:v>
      </x:c>
      <x:c r="H17" s="19" t="str">
        <x:v>Net DV01</x:v>
      </x:c>
      <x:c r="I17" s="2"/>
      <x:c r="J17" s="2"/>
      <x:c r="K17" s="2"/>
    </x:row>
    <x:row r="18" ht="20" customHeight="1">
      <x:c r="A18" s="2"/>
      <x:c r="B18" s="2"/>
      <x:c r="C18" s="2" t="n">
        <x:f>'Benefits'!G130</x:f>
        <x:v>1</x:v>
      </x:c>
      <x:c r="D18" s="21" t="n">
        <x:f>'Benefits'!H130</x:f>
        <x:v>5077.735070422901</x:v>
      </x:c>
      <x:c r="E18" s="2"/>
      <x:c r="F18" s="2"/>
      <x:c r="G18" s="21" t="n">
        <x:f>'Benefits'!J130</x:f>
        <x:v>2394.173375257028</x:v>
      </x:c>
      <x:c r="H18" s="21" t="n">
        <x:f>'Benefits'!K130</x:f>
        <x:v>-2683.561695165873</x:v>
      </x:c>
      <x:c r="I18" s="2"/>
      <x:c r="J18" s="2"/>
      <x:c r="K18" s="2"/>
    </x:row>
    <x:row r="19" ht="20" customHeight="1">
      <x:c r="A19" s="2"/>
      <x:c r="B19" s="2"/>
      <x:c r="C19" s="2" t="n">
        <x:f>'Benefits'!G131</x:f>
        <x:v>5</x:v>
      </x:c>
      <x:c r="D19" s="21" t="n">
        <x:f>'Benefits'!H131</x:f>
        <x:v>18844.983036553393</x:v>
      </x:c>
      <x:c r="E19" s="2"/>
      <x:c r="F19" s="2"/>
      <x:c r="G19" s="21" t="n">
        <x:f>'Benefits'!J131</x:f>
        <x:v>19621.437340337412</x:v>
      </x:c>
      <x:c r="H19" s="21" t="n">
        <x:f>'Benefits'!K131</x:f>
        <x:v>776.4543037840194</x:v>
      </x:c>
      <x:c r="I19" s="2"/>
      <x:c r="J19" s="2"/>
      <x:c r="K19" s="2"/>
    </x:row>
    <x:row r="20" ht="20" customHeight="1">
      <x:c r="A20" s="2"/>
      <x:c r="B20" s="2"/>
      <x:c r="C20" s="2" t="n">
        <x:f>'Benefits'!G132</x:f>
        <x:v>10</x:v>
      </x:c>
      <x:c r="D20" s="21" t="n">
        <x:f>'Benefits'!H132</x:f>
        <x:v>37828.834284547665</x:v>
      </x:c>
      <x:c r="E20" s="2"/>
      <x:c r="F20" s="2"/>
      <x:c r="G20" s="21" t="n">
        <x:f>'Benefits'!J132</x:f>
        <x:v>37954.803725457314</x:v>
      </x:c>
      <x:c r="H20" s="21" t="n">
        <x:f>'Benefits'!K132</x:f>
        <x:v>125.96944090964826</x:v>
      </x:c>
      <x:c r="I20" s="2"/>
      <x:c r="J20" s="2"/>
      <x:c r="K20" s="2"/>
    </x:row>
    <x:row r="21" ht="20" customHeight="1">
      <x:c r="A21" s="2"/>
      <x:c r="B21" s="2"/>
      <x:c r="C21" s="2" t="n">
        <x:f>'Benefits'!G133</x:f>
        <x:v>20</x:v>
      </x:c>
      <x:c r="D21" s="21" t="n">
        <x:f>'Benefits'!H133</x:f>
        <x:v>30825.26843615821</x:v>
      </x:c>
      <x:c r="E21" s="2"/>
      <x:c r="F21" s="2"/>
      <x:c r="G21" s="21" t="n">
        <x:f>'Benefits'!J133</x:f>
        <x:v>30662.839442653923</x:v>
      </x:c>
      <x:c r="H21" s="21" t="n">
        <x:f>'Benefits'!K133</x:f>
        <x:v>-162.42899350428706</x:v>
      </x:c>
      <x:c r="I21" s="2"/>
      <x:c r="J21" s="2"/>
      <x:c r="K21" s="2"/>
    </x:row>
    <x:row r="22" ht="20" customHeight="1">
      <x:c r="A22" s="2"/>
      <x:c r="B22" s="2"/>
      <x:c r="C22" s="2" t="n">
        <x:f>'Benefits'!G134</x:f>
        <x:v>30</x:v>
      </x:c>
      <x:c r="D22" s="21" t="n">
        <x:f>'Benefits'!H134</x:f>
        <x:v>8581.108259749108</x:v>
      </x:c>
      <x:c r="E22" s="2"/>
      <x:c r="F22" s="2"/>
      <x:c r="G22" s="21" t="n">
        <x:f>'Benefits'!J134</x:f>
        <x:v>8728.99062767773</x:v>
      </x:c>
      <x:c r="H22" s="21" t="n">
        <x:f>'Benefits'!K134</x:f>
        <x:v>147.88236792862153</x:v>
      </x:c>
      <x:c r="I22" s="2"/>
      <x:c r="J22" s="2"/>
      <x:c r="K22" s="2"/>
    </x:row>
    <x:row r="23" ht="2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0" customHeight="1">
      <x:c r="A24" s="2"/>
      <x:c r="B24" s="2"/>
      <x:c r="C24" s="23" t="str">
        <x:v>Key-rate exposures are USD per 1 bp shift at the named maturity.</x:v>
      </x:c>
      <x:c r="D24" s="2"/>
      <x:c r="E24" s="2"/>
      <x:c r="F24" s="2"/>
      <x:c r="G24" s="2"/>
      <x:c r="H24" s="2"/>
      <x:c r="I24" s="2"/>
      <x:c r="J24" s="2"/>
      <x:c r="K24" s="2"/>
    </x:row>
    <x:row r="25" ht="2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0" customHeight="1">
      <x:c r="A26" s="2"/>
      <x:c r="B26" s="2"/>
      <x:c r="C26" s="2" t="str">
        <x:v>Final historical RMSE (bp)</x:v>
      </x:c>
      <x:c r="D26" s="63" t="n">
        <x:f>INDEX('Historical'!$M$16:$M$19,'Controls'!$F$4)</x:f>
        <x:v>6.499446879756122</x:v>
      </x:c>
      <x:c r="E26" s="2"/>
      <x:c r="F26" s="2"/>
      <x:c r="G26" s="2" t="str">
        <x:v>Monthly surplus fraction</x:v>
      </x:c>
      <x:c r="H26" s="24" t="n">
        <x:f>'Historical'!H23</x:f>
        <x:v>0.00010647115338052553</x:v>
      </x:c>
      <x:c r="I26" s="2"/>
      <x:c r="J26" s="2"/>
      <x:c r="K26" s="2"/>
    </x:row>
    <x:row r="27" ht="2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0" customHeight="1">
      <x:c r="A28" s="2"/>
      <x:c r="B28" s="2"/>
      <x:c r="C28" s="23" t="str">
        <x:v>Historical RMSE uses 84 final months. The monthly example reprices the selected dates independently.</x:v>
      </x:c>
      <x:c r="D28" s="2"/>
      <x:c r="E28" s="2"/>
      <x:c r="F28" s="2"/>
      <x:c r="G28" s="2"/>
      <x:c r="H28" s="2"/>
      <x:c r="I28" s="2"/>
      <x:c r="J28" s="2"/>
      <x:c r="K28" s="2"/>
    </x:row>
    <x:row r="29" ht="2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0" customHeight="1">
      <x:c r="A30" s="2"/>
      <x:c r="B30" s="2"/>
      <x:c r="C30" s="23" t="str">
        <x:v>Synthetic USD benefits. Lower mortality raises expected benefits; the rate hedge does not cover longevity.</x:v>
      </x:c>
      <x:c r="D30" s="2"/>
      <x:c r="E30" s="2"/>
      <x:c r="F30" s="2"/>
      <x:c r="G30" s="2"/>
      <x:c r="H30" s="2"/>
      <x:c r="I30" s="2"/>
      <x:c r="J30" s="2"/>
      <x:c r="K30" s="2"/>
    </x:row>
    <x:row r="31" ht="2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0" customHeight="1">
      <x:c r="A32" s="2"/>
      <x:c r="B32" s="2"/>
      <x:c r="C32" s="23" t="str">
        <x:v>Use Controls for rates, mortality, liquidation and cash reinvestment assumptions. Faces stay fixed.</x:v>
      </x:c>
      <x:c r="D32" s="2"/>
      <x:c r="E32" s="2"/>
      <x:c r="F32" s="2"/>
      <x:c r="G32" s="2"/>
      <x:c r="H32" s="2"/>
      <x:c r="I32" s="2"/>
      <x:c r="J32" s="2"/>
      <x:c r="K32" s="2"/>
    </x:row>
    <x:row r="33" ht="2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0" customHeight="1">
      <x:c r="A34" s="2"/>
      <x:c r="B34" s="2"/>
      <x:c r="C34" s="23" t="str">
        <x:v>Instantaneous shocks revalue both sides. Runoff retains the base curve’s deterministic forwards.</x:v>
      </x:c>
      <x:c r="D34" s="2"/>
      <x:c r="E34" s="2"/>
      <x:c r="F34" s="2"/>
      <x:c r="G34" s="2"/>
      <x:c r="H34" s="2"/>
      <x:c r="I34" s="2"/>
      <x:c r="J34" s="2"/>
      <x:c r="K34" s="2"/>
    </x:row>
    <x:row r="35" ht="2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0" customHeight="1">
      <x:c r="A36" s="2"/>
      <x:c r="B36" s="2"/>
      <x:c r="C36" s="23" t="str">
        <x:v>Haircuts and cash-rate shifts are scenarios. No shortfall probability or actual trading profit is estimated.</x:v>
      </x:c>
      <x:c r="D36" s="2"/>
      <x:c r="E36" s="2"/>
      <x:c r="F36" s="2"/>
      <x:c r="G36" s="2"/>
      <x:c r="H36" s="2"/>
      <x:c r="I36" s="2"/>
      <x:c r="J36" s="2"/>
      <x:c r="K36" s="2"/>
    </x:row>
    <x:row r="37" ht="2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0" customHeight="1">
      <x:c r="A38" s="2"/>
      <x:c r="B38" s="2"/>
      <x:c r="C38" s="23" t="str">
        <x:v>The default portfolio was selected on historical development months, before final scoring.</x:v>
      </x:c>
      <x:c r="D38" s="2"/>
      <x:c r="E38" s="2"/>
      <x:c r="F38" s="2"/>
      <x:c r="G38" s="2"/>
      <x:c r="H38" s="2"/>
      <x:c r="I38" s="2"/>
      <x:c r="J38" s="2"/>
      <x:c r="K38" s="2"/>
    </x:row>
    <x:row r="39" ht="2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B7E99"/>
  </x:sheetPr>
  <x:sheetViews>
    <x:sheetView showGridLines="0" workbookViewId="0"/>
  </x:sheetViews>
  <x:sheetFormatPr defaultRowHeight="15"/>
  <x:cols>
    <x:col min="1" max="1" width="3" hidden="0" customWidth="1"/>
    <x:col min="2" max="2" width="2" hidden="0" customWidth="1"/>
    <x:col min="3" max="3" width="34" hidden="0" customWidth="1"/>
    <x:col min="4" max="4" width="18" hidden="0" customWidth="1"/>
    <x:col min="5" max="5" width="12" hidden="0" customWidth="1"/>
    <x:col min="6" max="6" width="19" hidden="0" customWidth="1"/>
    <x:col min="7" max="7" width="79" hidden="0" customWidth="1"/>
  </x:cols>
  <x:sheetData>
    <x:row r="1" ht="20" customHeight="1">
      <x:c r="A1" s="2"/>
      <x:c r="B1" s="2"/>
      <x:c r="C1" s="2"/>
      <x:c r="D1" s="2"/>
      <x:c r="E1" s="2"/>
      <x:c r="F1" s="2"/>
      <x:c r="G1" s="2"/>
    </x:row>
    <x:row r="2" ht="20" customHeight="1">
      <x:c r="A2" s="2"/>
      <x:c r="B2" s="2"/>
      <x:c r="C2" s="4" t="str">
        <x:v>Scenario inputs</x:v>
      </x:c>
      <x:c r="D2" s="5"/>
      <x:c r="E2" s="5"/>
      <x:c r="F2" s="5"/>
      <x:c r="G2" s="5"/>
    </x:row>
    <x:row r="3" ht="34" customHeight="1">
      <x:c r="A3" s="2"/>
      <x:c r="B3" s="2"/>
      <x:c r="C3" s="17" t="str">
        <x:v>Driver</x:v>
      </x:c>
      <x:c r="D3" s="18" t="str">
        <x:v>Editable value</x:v>
      </x:c>
      <x:c r="E3" s="18" t="str">
        <x:v>Unit</x:v>
      </x:c>
      <x:c r="F3" s="18" t="str">
        <x:v>Active input</x:v>
      </x:c>
      <x:c r="G3" s="19" t="str">
        <x:v>Meaning</x:v>
      </x:c>
    </x:row>
    <x:row r="4" ht="20" customHeight="1">
      <x:c r="A4" s="2"/>
      <x:c r="B4" s="2"/>
      <x:c r="C4" s="2" t="str">
        <x:v>Asset portfolio</x:v>
      </x:c>
      <x:c r="D4" s="33" t="n">
        <x:v>4</x:v>
      </x:c>
      <x:c r="E4" s="40" t="str">
        <x:v>1–4</x:v>
      </x:c>
      <x:c r="F4" s="2" t="n">
        <x:f>IF(AND(ISNUMBER(D4),D4=INT(D4),D4&gt;=1,D4&lt;=4),D4,NA())</x:f>
        <x:v>4</x:v>
      </x:c>
      <x:c r="G4" s="44" t="str">
        <x:v>1 five-year, 2 duration, 3 key rate, 4 covariance</x:v>
      </x:c>
    </x:row>
    <x:row r="5" ht="20" customHeight="1">
      <x:c r="A5" s="2"/>
      <x:c r="B5" s="2"/>
      <x:c r="C5" s="2" t="str">
        <x:v>Annual benefit per life</x:v>
      </x:c>
      <x:c r="D5" s="34" t="n">
        <x:v>12000</x:v>
      </x:c>
      <x:c r="E5" s="41" t="str">
        <x:v>USD</x:v>
      </x:c>
      <x:c r="F5" s="21" t="n">
        <x:f>IF(AND(ISNUMBER(D5),D5&gt;=0),D5,NA())</x:f>
        <x:v>12000</x:v>
      </x:c>
      <x:c r="G5" s="44" t="str">
        <x:v>Changes liabilities; inception asset faces remain fixed</x:v>
      </x:c>
    </x:row>
    <x:row r="6" ht="20" customHeight="1">
      <x:c r="A6" s="2"/>
      <x:c r="B6" s="2"/>
      <x:c r="C6" s="2" t="str">
        <x:v>Mortality force multiplier</x:v>
      </x:c>
      <x:c r="D6" s="35" t="n">
        <x:v>1</x:v>
      </x:c>
      <x:c r="E6" s="42" t="str">
        <x:v>x</x:v>
      </x:c>
      <x:c r="F6" s="36" t="n">
        <x:f>IF(AND(ISNUMBER(D6),D6&gt;0),D6,NA())</x:f>
        <x:v>1</x:v>
      </x:c>
      <x:c r="G6" s="44" t="str">
        <x:v>0.8 is lower mortality; 1.0 uses the period table</x:v>
      </x:c>
    </x:row>
    <x:row r="7" ht="20" customHeight="1">
      <x:c r="A7" s="2"/>
      <x:c r="B7" s="2"/>
      <x:c r="C7" s="2" t="str">
        <x:v>Maximum paying age</x:v>
      </x:c>
      <x:c r="D7" s="33" t="n">
        <x:v>120</x:v>
      </x:c>
      <x:c r="E7" s="40" t="str">
        <x:v>age</x:v>
      </x:c>
      <x:c r="F7" s="2" t="n">
        <x:f>IF(AND(ISNUMBER(D7),D7=INT(D7),D7&gt;MAX('Sources'!$I$49:$I$52),D7&lt;=120),D7,NA())</x:f>
        <x:v>120</x:v>
      </x:c>
      <x:c r="G7" s="44" t="str">
        <x:v>Birthday payment is retained; later payments are zero</x:v>
      </x:c>
    </x:row>
    <x:row r="8" ht="20" customHeight="1">
      <x:c r="A8" s="2"/>
      <x:c r="B8" s="2"/>
      <x:c r="C8" s="2" t="str">
        <x:v>Parallel rate shift</x:v>
      </x:c>
      <x:c r="D8" s="33" t="n">
        <x:v>0</x:v>
      </x:c>
      <x:c r="E8" s="40" t="str">
        <x:v>bp</x:v>
      </x:c>
      <x:c r="F8" s="39" t="n">
        <x:f>IF(ISNUMBER(D8),D8/10000,NA())</x:f>
        <x:v>0</x:v>
      </x:c>
      <x:c r="G8" s="44" t="str">
        <x:v>Instantaneous valuation only</x:v>
      </x:c>
    </x:row>
    <x:row r="9" ht="20" customHeight="1">
      <x:c r="A9" s="2"/>
      <x:c r="B9" s="2"/>
      <x:c r="C9" s="2" t="str">
        <x:v>1-year key shift</x:v>
      </x:c>
      <x:c r="D9" s="33" t="n">
        <x:v>0</x:v>
      </x:c>
      <x:c r="E9" s="40" t="str">
        <x:v>bp</x:v>
      </x:c>
      <x:c r="F9" s="39" t="n">
        <x:f>IF(ISNUMBER(D9),D9/10000,NA())</x:f>
        <x:v>0</x:v>
      </x:c>
      <x:c r="G9" s="44" t="str">
        <x:v>Linear key-rate hats, constant outside endpoint knots</x:v>
      </x:c>
    </x:row>
    <x:row r="10" ht="20" customHeight="1">
      <x:c r="A10" s="2"/>
      <x:c r="B10" s="2"/>
      <x:c r="C10" s="2" t="str">
        <x:v>5-year key shift</x:v>
      </x:c>
      <x:c r="D10" s="33" t="n">
        <x:v>0</x:v>
      </x:c>
      <x:c r="E10" s="40" t="str">
        <x:v>bp</x:v>
      </x:c>
      <x:c r="F10" s="39" t="n">
        <x:f>IF(ISNUMBER(D10),D10/10000,NA())</x:f>
        <x:v>0</x:v>
      </x:c>
      <x:c r="G10" s="44" t="str">
        <x:v>Additional to the parallel shift</x:v>
      </x:c>
    </x:row>
    <x:row r="11" ht="20" customHeight="1">
      <x:c r="A11" s="2"/>
      <x:c r="B11" s="2"/>
      <x:c r="C11" s="2" t="str">
        <x:v>10-year key shift</x:v>
      </x:c>
      <x:c r="D11" s="33" t="n">
        <x:v>0</x:v>
      </x:c>
      <x:c r="E11" s="40" t="str">
        <x:v>bp</x:v>
      </x:c>
      <x:c r="F11" s="39" t="n">
        <x:f>IF(ISNUMBER(D11),D11/10000,NA())</x:f>
        <x:v>0</x:v>
      </x:c>
      <x:c r="G11" s="44" t="str">
        <x:v>Additional to the parallel shift</x:v>
      </x:c>
    </x:row>
    <x:row r="12" ht="20" customHeight="1">
      <x:c r="A12" s="2"/>
      <x:c r="B12" s="2"/>
      <x:c r="C12" s="2" t="str">
        <x:v>20-year key shift</x:v>
      </x:c>
      <x:c r="D12" s="33" t="n">
        <x:v>0</x:v>
      </x:c>
      <x:c r="E12" s="40" t="str">
        <x:v>bp</x:v>
      </x:c>
      <x:c r="F12" s="39" t="n">
        <x:f>IF(ISNUMBER(D12),D12/10000,NA())</x:f>
        <x:v>0</x:v>
      </x:c>
      <x:c r="G12" s="44" t="str">
        <x:v>Additional to the parallel shift</x:v>
      </x:c>
    </x:row>
    <x:row r="13" ht="20" customHeight="1">
      <x:c r="A13" s="2"/>
      <x:c r="B13" s="2"/>
      <x:c r="C13" s="2" t="str">
        <x:v>30-year key shift</x:v>
      </x:c>
      <x:c r="D13" s="33" t="n">
        <x:v>0</x:v>
      </x:c>
      <x:c r="E13" s="40" t="str">
        <x:v>bp</x:v>
      </x:c>
      <x:c r="F13" s="39" t="n">
        <x:f>IF(ISNUMBER(D13),D13/10000,NA())</x:f>
        <x:v>0</x:v>
      </x:c>
      <x:c r="G13" s="44" t="str">
        <x:v>Also applies beyond 30 years</x:v>
      </x:c>
    </x:row>
    <x:row r="14" ht="20" customHeight="1">
      <x:c r="A14" s="2"/>
      <x:c r="B14" s="2"/>
      <x:c r="C14" s="2" t="str">
        <x:v>Curve tail after 30 years</x:v>
      </x:c>
      <x:c r="D14" s="33" t="n">
        <x:v>1</x:v>
      </x:c>
      <x:c r="E14" s="40" t="str">
        <x:v>1–3</x:v>
      </x:c>
      <x:c r="F14" s="2" t="n">
        <x:f>IF(AND(ISNUMBER(D14),D14=INT(D14),D14&gt;=1,D14&lt;=3),D14,NA())</x:f>
        <x:v>1</x:v>
      </x:c>
      <x:c r="G14" s="44" t="str">
        <x:v>1 Svensson, 2 flat forward, 3 flat zero</x:v>
      </x:c>
    </x:row>
    <x:row r="15" ht="20" customHeight="1">
      <x:c r="A15" s="2"/>
      <x:c r="B15" s="2"/>
      <x:c r="C15" s="2" t="str">
        <x:v>Liquidation haircut</x:v>
      </x:c>
      <x:c r="D15" s="37" t="n">
        <x:v>0</x:v>
      </x:c>
      <x:c r="E15" s="43" t="str">
        <x:v>fraction</x:v>
      </x:c>
      <x:c r="F15" s="38" t="n">
        <x:f>IF(AND(ISNUMBER(D15),D15&gt;=0,D15&lt;1),D15,NA())</x:f>
        <x:v>0</x:v>
      </x:c>
      <x:c r="G15" s="44" t="str">
        <x:v>Loss on gross sales; assumed, not an observed spread</x:v>
      </x:c>
    </x:row>
    <x:row r="16" ht="20" customHeight="1">
      <x:c r="A16" s="2"/>
      <x:c r="B16" s="2"/>
      <x:c r="C16" s="2" t="str">
        <x:v>Cash reinvestment shift</x:v>
      </x:c>
      <x:c r="D16" s="33" t="n">
        <x:v>0</x:v>
      </x:c>
      <x:c r="E16" s="40" t="str">
        <x:v>bp</x:v>
      </x:c>
      <x:c r="F16" s="39" t="n">
        <x:f>IF(ISNUMBER(D16),D16/10000,NA())</x:f>
        <x:v>0</x:v>
      </x:c>
      <x:c r="G16" s="44" t="str">
        <x:v>Applied to cash accumulation only</x:v>
      </x:c>
    </x:row>
    <x:row r="17" ht="20" customHeight="1">
      <x:c r="A17" s="2"/>
      <x:c r="B17" s="2"/>
      <x:c r="C17" s="2" t="str">
        <x:v>Runoff horizon</x:v>
      </x:c>
      <x:c r="D17" s="2" t="n">
        <x:v>10</x:v>
      </x:c>
      <x:c r="E17" s="40" t="str">
        <x:v>years</x:v>
      </x:c>
      <x:c r="F17" s="2" t="n">
        <x:v>10</x:v>
      </x:c>
      <x:c r="G17" s="44" t="str">
        <x:v>Fixed ten-year schedule at initial-curve forwards</x:v>
      </x:c>
    </x:row>
    <x:row r="18" ht="20" customHeight="1">
      <x:c r="A18" s="2"/>
      <x:c r="B18" s="2"/>
      <x:c r="C18" s="2"/>
      <x:c r="D18" s="2"/>
      <x:c r="E18" s="40"/>
      <x:c r="F18" s="2"/>
      <x:c r="G18" s="44"/>
    </x:row>
    <x:row r="19" ht="20" customHeight="1">
      <x:c r="A19" s="2"/>
      <x:c r="B19" s="2"/>
      <x:c r="C19" s="2"/>
      <x:c r="D19" s="2"/>
      <x:c r="E19" s="40"/>
      <x:c r="F19" s="2"/>
      <x:c r="G19" s="44"/>
    </x:row>
    <x:row r="20" ht="20" customHeight="1">
      <x:c r="A20" s="2"/>
      <x:c r="B20" s="2"/>
      <x:c r="C20" s="2" t="str">
        <x:v>Historical month</x:v>
      </x:c>
      <x:c r="D20" s="33" t="n">
        <x:v>1</x:v>
      </x:c>
      <x:c r="E20" s="40" t="str">
        <x:v>1–3</x:v>
      </x:c>
      <x:c r="F20" s="2" t="n">
        <x:f>IF(AND(ISNUMBER(D20),D20=INT(D20),D20&gt;=1,D20&lt;=3),D20,NA())</x:f>
        <x:v>1</x:v>
      </x:c>
      <x:c r="G20" s="44" t="str">
        <x:v>1 Jan 2019, 2 Mar 2020, 3 Sep 2022</x:v>
      </x:c>
    </x:row>
    <x:row r="21" ht="20" customHeight="1">
      <x:c r="A21" s="2"/>
      <x:c r="B21" s="2"/>
      <x:c r="C21" s="2"/>
      <x:c r="D21" s="2"/>
      <x:c r="E21" s="2"/>
      <x:c r="F21" s="2"/>
      <x:c r="G21" s="2"/>
    </x:row>
    <x:row r="22" ht="20" customHeight="1">
      <x:c r="A22" s="2"/>
      <x:c r="B22" s="2"/>
      <x:c r="C22" s="2"/>
      <x:c r="D22" s="2"/>
      <x:c r="E22" s="2"/>
      <x:c r="F22" s="2"/>
      <x:c r="G22" s="2"/>
    </x:row>
    <x:row r="23" ht="20" customHeight="1">
      <x:c r="A23" s="2"/>
      <x:c r="B23" s="2"/>
      <x:c r="C23" s="23" t="str">
        <x:v>Blue cells are editable. Invalid or missing required inputs expose an error. Zero benefit is valid.</x:v>
      </x:c>
      <x:c r="D23" s="2"/>
      <x:c r="E23" s="2"/>
      <x:c r="F23" s="2"/>
      <x:c r="G23" s="2"/>
    </x:row>
    <x:row r="24" ht="20" customHeight="1">
      <x:c r="A24" s="2"/>
      <x:c r="B24" s="2"/>
      <x:c r="C24" s="2"/>
      <x:c r="D24" s="2"/>
      <x:c r="E24" s="2"/>
      <x:c r="F24" s="2"/>
      <x:c r="G24" s="2"/>
    </x:row>
    <x:row r="25" ht="20" customHeight="1">
      <x:c r="A25" s="2"/>
      <x:c r="B25" s="2"/>
      <x:c r="C25" s="23" t="str">
        <x:v>Runoff uses the base Svensson curve; instantaneous rate shifts and alternative tails do not change its forward marks.</x:v>
      </x:c>
      <x:c r="D25" s="2"/>
      <x:c r="E25" s="2"/>
      <x:c r="F25" s="2"/>
      <x:c r="G25" s="2"/>
    </x:row>
    <x:row r="26" ht="20" customHeight="1">
      <x:c r="A26" s="2"/>
      <x:c r="B26" s="2"/>
      <x:c r="C26" s="2"/>
      <x:c r="D26" s="2"/>
      <x:c r="E26" s="2"/>
      <x:c r="F26" s="2"/>
      <x:c r="G26" s="2"/>
    </x:row>
    <x:row r="27" ht="20" customHeight="1">
      <x:c r="A27" s="2"/>
      <x:c r="B27" s="2"/>
      <x:c r="C27" s="2"/>
      <x:c r="D27" s="2"/>
      <x:c r="E27" s="2"/>
      <x:c r="F27" s="2"/>
      <x:c r="G27" s="2"/>
    </x:row>
    <x:row r="28" ht="20" customHeight="1">
      <x:c r="A28" s="2"/>
      <x:c r="B28" s="2"/>
      <x:c r="C28" s="2"/>
      <x:c r="D28" s="2"/>
      <x:c r="E28" s="2"/>
      <x:c r="F28" s="2"/>
      <x:c r="G28" s="2"/>
    </x:row>
  </x:sheetData>
  <x:conditionalFormatting sqref="F4:F20">
    <x:cfRule type="containsErrors" dxfId="0" priority="1"/>
  </x:conditionalFormatting>
  <x:dataValidations count="4">
    <x:dataValidation type="whole" operator="between" sqref="D4">
      <x:formula1>1</x:formula1>
      <x:formula2>4</x:formula2>
    </x:dataValidation>
    <x:dataValidation type="whole" operator="between" sqref="D7">
      <x:formula1>76</x:formula1>
      <x:formula2>120</x:formula2>
    </x:dataValidation>
    <x:dataValidation type="whole" operator="between" sqref="D14">
      <x:formula1>1</x:formula1>
      <x:formula2>3</x:formula2>
    </x:dataValidation>
    <x:dataValidation type="whole" operator="between" sqref="D20">
      <x:formula1>1</x:formula1>
      <x:formula2>3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3" hidden="0" customWidth="1"/>
    <x:col min="2" max="2" width="2" hidden="0" customWidth="1"/>
    <x:col min="3" max="3" width="30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</x:row>
    <x:row r="2" ht="20" customHeight="1">
      <x:c r="A2" s="2"/>
      <x:c r="B2" s="2"/>
      <x:c r="C2" s="4" t="str">
        <x:v>Expected benefit cash flows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  <x:c r="U2" s="5"/>
      <x:c r="V2" s="5"/>
      <x:c r="W2" s="5"/>
    </x:row>
    <x:row r="3" ht="20" customHeight="1">
      <x:c r="A3" s="2"/>
      <x:c r="B3" s="2"/>
      <x:c r="C3" s="2" t="str">
        <x:v>Portfolio</x:v>
      </x:c>
      <x:c r="D3" s="6" t="str">
        <x:f>INDEX('Sources'!$H$7:$K$7,1,'Controls'!$F$4)</x:f>
        <x:v>Covariance hedge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</x:row>
    <x:row r="4" ht="20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</x:row>
    <x:row r="5" ht="34" customHeight="1">
      <x:c r="A5" s="2"/>
      <x:c r="B5" s="2"/>
      <x:c r="C5" s="17" t="str">
        <x:v>Year</x:v>
      </x:c>
      <x:c r="D5" s="18" t="str">
        <x:v>Male 60 qx</x:v>
      </x:c>
      <x:c r="E5" s="18" t="str">
        <x:v>Female 65 qx</x:v>
      </x:c>
      <x:c r="F5" s="18" t="str">
        <x:v>Male 70 qx</x:v>
      </x:c>
      <x:c r="G5" s="18" t="str">
        <x:v>Female 75 qx</x:v>
      </x:c>
      <x:c r="H5" s="18" t="str">
        <x:v>Male 60 survival</x:v>
      </x:c>
      <x:c r="I5" s="18" t="str">
        <x:v>Female 65 survival</x:v>
      </x:c>
      <x:c r="J5" s="18" t="str">
        <x:v>Male 70 survival</x:v>
      </x:c>
      <x:c r="K5" s="18" t="str">
        <x:v>Female 75 survival</x:v>
      </x:c>
      <x:c r="L5" s="18" t="str">
        <x:v>Expected pay (USD)</x:v>
      </x:c>
      <x:c r="M5" s="18" t="str">
        <x:v>Active DF</x:v>
      </x:c>
      <x:c r="N5" s="18" t="str">
        <x:v>PV (USD)</x:v>
      </x:c>
      <x:c r="O5" s="18" t="str">
        <x:v>Year × PV</x:v>
      </x:c>
      <x:c r="P5" s="18" t="str">
        <x:v>Year² × PV</x:v>
      </x:c>
      <x:c r="Q5" s="18" t="str">
        <x:v>PV after 30 years</x:v>
      </x:c>
      <x:c r="R5" s="18" t="str">
        <x:v>1y dollar duration</x:v>
      </x:c>
      <x:c r="S5" s="18" t="str">
        <x:v>5y dollar duration</x:v>
      </x:c>
      <x:c r="T5" s="18" t="str">
        <x:v>10y dollar duration</x:v>
      </x:c>
      <x:c r="U5" s="18" t="str">
        <x:v>20y dollar duration</x:v>
      </x:c>
      <x:c r="V5" s="18" t="str">
        <x:v>30y dollar duration</x:v>
      </x:c>
      <x:c r="W5" s="19" t="str">
        <x:v>Base-curve PV</x:v>
      </x:c>
    </x:row>
    <x:row r="6" ht="20" customHeight="1">
      <x:c r="A6" s="2"/>
      <x:c r="B6" s="2"/>
      <x:c r="C6" s="2" t="n">
        <x:v>1</x:v>
      </x:c>
      <x:c r="D6" s="46" t="n">
        <x:f>IF(C6+'Sources'!$I$49-1&gt;='Controls'!$F$7,1,INDEX('Sources'!$D$15:$D$134,C6+'Sources'!$I$49))</x:f>
        <x:v>0.011337</x:v>
      </x:c>
      <x:c r="E6" s="46" t="n">
        <x:f>IF(C6+'Sources'!$I$50-1&gt;='Controls'!$F$7,1,INDEX('Sources'!$E$15:$E$134,C6+'Sources'!$I$50))</x:f>
        <x:v>0.010188</x:v>
      </x:c>
      <x:c r="F6" s="46" t="n">
        <x:f>IF(C6+'Sources'!$I$51-1&gt;='Controls'!$F$7,1,INDEX('Sources'!$D$15:$D$134,C6+'Sources'!$I$51))</x:f>
        <x:v>0.022903</x:v>
      </x:c>
      <x:c r="G6" s="46" t="n">
        <x:f>IF(C6+'Sources'!$I$52-1&gt;='Controls'!$F$7,1,INDEX('Sources'!$E$15:$E$134,C6+'Sources'!$I$52))</x:f>
        <x:v>0.023846</x:v>
      </x:c>
      <x:c r="H6" s="20" t="n">
        <x:f>1*(1-D6)^'Controls'!$F$6</x:f>
        <x:v>0.988663</x:v>
      </x:c>
      <x:c r="I6" s="20" t="n">
        <x:f>1*(1-E6)^'Controls'!$F$6</x:f>
        <x:v>0.989812</x:v>
      </x:c>
      <x:c r="J6" s="20" t="n">
        <x:f>1*(1-F6)^'Controls'!$F$6</x:f>
        <x:v>0.977097</x:v>
      </x:c>
      <x:c r="K6" s="20" t="n">
        <x:f>1*(1-G6)^'Controls'!$F$6</x:f>
        <x:v>0.976154</x:v>
      </x:c>
      <x:c r="L6" s="52" t="n">
        <x:f>'Controls'!$F$5*(H6*'Sources'!$J$49+I6*'Sources'!$J$50+J6*'Sources'!$J$51+K6*'Sources'!$J$52)</x:f>
        <x:v>11795178</x:v>
      </x:c>
      <x:c r="M6" s="53" t="n">
        <x:f>'Curve'!M7</x:f>
        <x:v>0.9554404015009527</x:v>
      </x:c>
      <x:c r="N6" s="21" t="n">
        <x:f>L6*M6</x:f>
        <x:v>11269589.604095204</x:v>
      </x:c>
      <x:c r="O6" s="21" t="n">
        <x:f>C6*N6</x:f>
        <x:v>11269589.604095204</x:v>
      </x:c>
      <x:c r="P6" s="21" t="n">
        <x:f>C6*O6</x:f>
        <x:v>11269589.604095204</x:v>
      </x:c>
      <x:c r="Q6" s="21" t="n">
        <x:f>IF(C6&gt;30,N6,0)</x:f>
        <x:v>0</x:v>
      </x:c>
      <x:c r="R6" s="52" t="n">
        <x:f>O6*'Curve'!N7</x:f>
        <x:v>11269589.604095204</x:v>
      </x:c>
      <x:c r="S6" s="52" t="n">
        <x:f>O6*'Curve'!O7</x:f>
        <x:v>0</x:v>
      </x:c>
      <x:c r="T6" s="52" t="n">
        <x:f>O6*'Curve'!P7</x:f>
        <x:v>0</x:v>
      </x:c>
      <x:c r="U6" s="52" t="n">
        <x:f>O6*'Curve'!Q7</x:f>
        <x:v>0</x:v>
      </x:c>
      <x:c r="V6" s="52" t="n">
        <x:f>O6*'Curve'!R7</x:f>
        <x:v>0</x:v>
      </x:c>
      <x:c r="W6" s="52" t="n">
        <x:f>L6*'Curve'!J7</x:f>
        <x:v>11269589.604095204</x:v>
      </x:c>
    </x:row>
    <x:row r="7" ht="20" customHeight="1">
      <x:c r="A7" s="2"/>
      <x:c r="B7" s="2"/>
      <x:c r="C7" s="2" t="n">
        <x:v>2</x:v>
      </x:c>
      <x:c r="D7" s="46" t="n">
        <x:f>IF(C7+'Sources'!$I$49-1&gt;='Controls'!$F$7,1,INDEX('Sources'!$D$15:$D$134,C7+'Sources'!$I$49))</x:f>
        <x:v>0.012232</x:v>
      </x:c>
      <x:c r="E7" s="46" t="n">
        <x:f>IF(C7+'Sources'!$I$50-1&gt;='Controls'!$F$7,1,INDEX('Sources'!$E$15:$E$134,C7+'Sources'!$I$50))</x:f>
        <x:v>0.01088</x:v>
      </x:c>
      <x:c r="F7" s="46" t="n">
        <x:f>IF(C7+'Sources'!$I$51-1&gt;='Controls'!$F$7,1,INDEX('Sources'!$D$15:$D$134,C7+'Sources'!$I$51))</x:f>
        <x:v>0.024615</x:v>
      </x:c>
      <x:c r="G7" s="46" t="n">
        <x:f>IF(C7+'Sources'!$I$52-1&gt;='Controls'!$F$7,1,INDEX('Sources'!$E$15:$E$134,C7+'Sources'!$I$52))</x:f>
        <x:v>0.026458</x:v>
      </x:c>
      <x:c r="H7" s="20" t="n">
        <x:f>H6*(1-D7)^'Controls'!$F$6</x:f>
        <x:v>0.976569674184</x:v>
      </x:c>
      <x:c r="I7" s="20" t="n">
        <x:f>I6*(1-E7)^'Controls'!$F$6</x:f>
        <x:v>0.97904284544</x:v>
      </x:c>
      <x:c r="J7" s="20" t="n">
        <x:f>J6*(1-F7)^'Controls'!$F$6</x:f>
        <x:v>0.953045757345</x:v>
      </x:c>
      <x:c r="K7" s="20" t="n">
        <x:f>K6*(1-G7)^'Controls'!$F$6</x:f>
        <x:v>0.950326917468</x:v>
      </x:c>
      <x:c r="L7" s="52" t="n">
        <x:f>'Controls'!$F$5*(H7*'Sources'!$J$49+I7*'Sources'!$J$50+J7*'Sources'!$J$51+K7*'Sources'!$J$52)</x:f>
        <x:v>11576955.583310999</x:v>
      </x:c>
      <x:c r="M7" s="53" t="n">
        <x:f>'Curve'!M8</x:f>
        <x:v>0.9077564586799891</x:v>
      </x:c>
      <x:c r="N7" s="21" t="n">
        <x:f>L7*M7</x:f>
        <x:v>10509056.20260192</x:v>
      </x:c>
      <x:c r="O7" s="21" t="n">
        <x:f>C7*N7</x:f>
        <x:v>21018112.40520384</x:v>
      </x:c>
      <x:c r="P7" s="21" t="n">
        <x:f>C7*O7</x:f>
        <x:v>42036224.81040768</x:v>
      </x:c>
      <x:c r="Q7" s="21" t="n">
        <x:f>IF(C7&gt;30,N7,0)</x:f>
        <x:v>0</x:v>
      </x:c>
      <x:c r="R7" s="52" t="n">
        <x:f>O7*'Curve'!N8</x:f>
        <x:v>15763584.303902881</x:v>
      </x:c>
      <x:c r="S7" s="52" t="n">
        <x:f>O7*'Curve'!O8</x:f>
        <x:v>5254528.10130096</x:v>
      </x:c>
      <x:c r="T7" s="52" t="n">
        <x:f>O7*'Curve'!P8</x:f>
        <x:v>0</x:v>
      </x:c>
      <x:c r="U7" s="52" t="n">
        <x:f>O7*'Curve'!Q8</x:f>
        <x:v>0</x:v>
      </x:c>
      <x:c r="V7" s="52" t="n">
        <x:f>O7*'Curve'!R8</x:f>
        <x:v>0</x:v>
      </x:c>
      <x:c r="W7" s="52" t="n">
        <x:f>L7*'Curve'!J8</x:f>
        <x:v>10509056.20260192</x:v>
      </x:c>
    </x:row>
    <x:row r="8" ht="20" customHeight="1">
      <x:c r="A8" s="2"/>
      <x:c r="B8" s="2"/>
      <x:c r="C8" s="2" t="n">
        <x:v>3</x:v>
      </x:c>
      <x:c r="D8" s="46" t="n">
        <x:f>IF(C8+'Sources'!$I$49-1&gt;='Controls'!$F$7,1,INDEX('Sources'!$D$15:$D$134,C8+'Sources'!$I$49))</x:f>
        <x:v>0.013196</x:v>
      </x:c>
      <x:c r="E8" s="46" t="n">
        <x:f>IF(C8+'Sources'!$I$50-1&gt;='Controls'!$F$7,1,INDEX('Sources'!$E$15:$E$134,C8+'Sources'!$I$50))</x:f>
        <x:v>0.011659</x:v>
      </x:c>
      <x:c r="F8" s="46" t="n">
        <x:f>IF(C8+'Sources'!$I$51-1&gt;='Controls'!$F$7,1,INDEX('Sources'!$D$15:$D$134,C8+'Sources'!$I$51))</x:f>
        <x:v>0.026504</x:v>
      </x:c>
      <x:c r="G8" s="46" t="n">
        <x:f>IF(C8+'Sources'!$I$52-1&gt;='Controls'!$F$7,1,INDEX('Sources'!$E$15:$E$134,C8+'Sources'!$I$52))</x:f>
        <x:v>0.0297</x:v>
      </x:c>
      <x:c r="H8" s="20" t="n">
        <x:f>H7*(1-D8)^'Controls'!$F$6</x:f>
        <x:v>0.963682860763468</x:v>
      </x:c>
      <x:c r="I8" s="20" t="n">
        <x:f>I7*(1-E8)^'Controls'!$F$6</x:f>
        <x:v>0.967628184905015</x:v>
      </x:c>
      <x:c r="J8" s="20" t="n">
        <x:f>J7*(1-F8)^'Controls'!$F$6</x:f>
        <x:v>0.9277862325923281</x:v>
      </x:c>
      <x:c r="K8" s="20" t="n">
        <x:f>K7*(1-G8)^'Controls'!$F$6</x:f>
        <x:v>0.9221022080192005</x:v>
      </x:c>
      <x:c r="L8" s="52" t="n">
        <x:f>'Controls'!$F$5*(H8*'Sources'!$J$49+I8*'Sources'!$J$50+J8*'Sources'!$J$51+K8*'Sources'!$J$52)</x:f>
        <x:v>11343598.458840035</x:v>
      </x:c>
      <x:c r="M8" s="53" t="n">
        <x:f>'Curve'!M9</x:f>
        <x:v>0.8618105773831168</x:v>
      </x:c>
      <x:c r="N8" s="21" t="n">
        <x:f>L8*M8</x:f>
        <x:v>9776033.137415165</x:v>
      </x:c>
      <x:c r="O8" s="21" t="n">
        <x:f>C8*N8</x:f>
        <x:v>29328099.412245497</x:v>
      </x:c>
      <x:c r="P8" s="21" t="n">
        <x:f>C8*O8</x:f>
        <x:v>87984298.23673649</x:v>
      </x:c>
      <x:c r="Q8" s="21" t="n">
        <x:f>IF(C8&gt;30,N8,0)</x:f>
        <x:v>0</x:v>
      </x:c>
      <x:c r="R8" s="52" t="n">
        <x:f>O8*'Curve'!N9</x:f>
        <x:v>14664049.706122749</x:v>
      </x:c>
      <x:c r="S8" s="52" t="n">
        <x:f>O8*'Curve'!O9</x:f>
        <x:v>14664049.706122749</x:v>
      </x:c>
      <x:c r="T8" s="52" t="n">
        <x:f>O8*'Curve'!P9</x:f>
        <x:v>0</x:v>
      </x:c>
      <x:c r="U8" s="52" t="n">
        <x:f>O8*'Curve'!Q9</x:f>
        <x:v>0</x:v>
      </x:c>
      <x:c r="V8" s="52" t="n">
        <x:f>O8*'Curve'!R9</x:f>
        <x:v>0</x:v>
      </x:c>
      <x:c r="W8" s="52" t="n">
        <x:f>L8*'Curve'!J9</x:f>
        <x:v>9776033.137415165</x:v>
      </x:c>
    </x:row>
    <x:row r="9" ht="20" customHeight="1">
      <x:c r="A9" s="2"/>
      <x:c r="B9" s="2"/>
      <x:c r="C9" s="2" t="n">
        <x:v>4</x:v>
      </x:c>
      <x:c r="D9" s="46" t="n">
        <x:f>IF(C9+'Sources'!$I$49-1&gt;='Controls'!$F$7,1,INDEX('Sources'!$D$15:$D$134,C9+'Sources'!$I$49))</x:f>
        <x:v>0.014229</x:v>
      </x:c>
      <x:c r="E9" s="46" t="n">
        <x:f>IF(C9+'Sources'!$I$50-1&gt;='Controls'!$F$7,1,INDEX('Sources'!$E$15:$E$134,C9+'Sources'!$I$50))</x:f>
        <x:v>0.012543</x:v>
      </x:c>
      <x:c r="F9" s="46" t="n">
        <x:f>IF(C9+'Sources'!$I$51-1&gt;='Controls'!$F$7,1,INDEX('Sources'!$D$15:$D$134,C9+'Sources'!$I$51))</x:f>
        <x:v>0.028648</x:v>
      </x:c>
      <x:c r="G9" s="46" t="n">
        <x:f>IF(C9+'Sources'!$I$52-1&gt;='Controls'!$F$7,1,INDEX('Sources'!$E$15:$E$134,C9+'Sources'!$I$52))</x:f>
        <x:v>0.033135</x:v>
      </x:c>
      <x:c r="H9" s="20" t="n">
        <x:f>H8*(1-D9)^'Controls'!$F$6</x:f>
        <x:v>0.9499706173376645</x:v>
      </x:c>
      <x:c r="I9" s="20" t="n">
        <x:f>I8*(1-E9)^'Controls'!$F$6</x:f>
        <x:v>0.9554912245817514</x:v>
      </x:c>
      <x:c r="J9" s="20" t="n">
        <x:f>J8*(1-F9)^'Controls'!$F$6</x:f>
        <x:v>0.9012070126010231</x:v>
      </x:c>
      <x:c r="K9" s="20" t="n">
        <x:f>K8*(1-G9)^'Controls'!$F$6</x:f>
        <x:v>0.8915483513564842</x:v>
      </x:c>
      <x:c r="L9" s="52" t="n">
        <x:f>'Controls'!$F$5*(H9*'Sources'!$J$49+I9*'Sources'!$J$50+J9*'Sources'!$J$51+K9*'Sources'!$J$52)</x:f>
        <x:v>11094651.617630769</x:v>
      </x:c>
      <x:c r="M9" s="53" t="n">
        <x:f>'Curve'!M10</x:f>
        <x:v>0.8184238138382588</x:v>
      </x:c>
      <x:c r="N9" s="21" t="n">
        <x:f>L9*M9</x:f>
        <x:v>9080127.09010818</x:v>
      </x:c>
      <x:c r="O9" s="21" t="n">
        <x:f>C9*N9</x:f>
        <x:v>36320508.36043272</x:v>
      </x:c>
      <x:c r="P9" s="21" t="n">
        <x:f>C9*O9</x:f>
        <x:v>145282033.4417309</x:v>
      </x:c>
      <x:c r="Q9" s="21" t="n">
        <x:f>IF(C9&gt;30,N9,0)</x:f>
        <x:v>0</x:v>
      </x:c>
      <x:c r="R9" s="52" t="n">
        <x:f>O9*'Curve'!N10</x:f>
        <x:v>9080127.09010818</x:v>
      </x:c>
      <x:c r="S9" s="52" t="n">
        <x:f>O9*'Curve'!O10</x:f>
        <x:v>27240381.270324543</x:v>
      </x:c>
      <x:c r="T9" s="52" t="n">
        <x:f>O9*'Curve'!P10</x:f>
        <x:v>0</x:v>
      </x:c>
      <x:c r="U9" s="52" t="n">
        <x:f>O9*'Curve'!Q10</x:f>
        <x:v>0</x:v>
      </x:c>
      <x:c r="V9" s="52" t="n">
        <x:f>O9*'Curve'!R10</x:f>
        <x:v>0</x:v>
      </x:c>
      <x:c r="W9" s="52" t="n">
        <x:f>L9*'Curve'!J10</x:f>
        <x:v>9080127.09010818</x:v>
      </x:c>
    </x:row>
    <x:row r="10" ht="20" customHeight="1">
      <x:c r="A10" s="2"/>
      <x:c r="B10" s="2"/>
      <x:c r="C10" s="2" t="n">
        <x:v>5</x:v>
      </x:c>
      <x:c r="D10" s="46" t="n">
        <x:f>IF(C10+'Sources'!$I$49-1&gt;='Controls'!$F$7,1,INDEX('Sources'!$D$15:$D$134,C10+'Sources'!$I$49))</x:f>
        <x:v>0.015316</x:v>
      </x:c>
      <x:c r="E10" s="46" t="n">
        <x:f>IF(C10+'Sources'!$I$50-1&gt;='Controls'!$F$7,1,INDEX('Sources'!$E$15:$E$134,C10+'Sources'!$I$50))</x:f>
        <x:v>0.013581</x:v>
      </x:c>
      <x:c r="F10" s="46" t="n">
        <x:f>IF(C10+'Sources'!$I$51-1&gt;='Controls'!$F$7,1,INDEX('Sources'!$D$15:$D$134,C10+'Sources'!$I$51))</x:f>
        <x:v>0.031071</x:v>
      </x:c>
      <x:c r="G10" s="46" t="n">
        <x:f>IF(C10+'Sources'!$I$52-1&gt;='Controls'!$F$7,1,INDEX('Sources'!$E$15:$E$134,C10+'Sources'!$I$52))</x:f>
        <x:v>0.036982</x:v>
      </x:c>
      <x:c r="H10" s="20" t="n">
        <x:f>H9*(1-D10)^'Controls'!$F$6</x:f>
        <x:v>0.9354208673625208</x:v>
      </x:c>
      <x:c r="I10" s="20" t="n">
        <x:f>I9*(1-E10)^'Controls'!$F$6</x:f>
        <x:v>0.9425146982607067</x:v>
      </x:c>
      <x:c r="J10" s="20" t="n">
        <x:f>J9*(1-F10)^'Controls'!$F$6</x:f>
        <x:v>0.8732056095124967</x:v>
      </x:c>
      <x:c r="K10" s="20" t="n">
        <x:f>K9*(1-G10)^'Controls'!$F$6</x:f>
        <x:v>0.8585771102266188</x:v>
      </x:c>
      <x:c r="L10" s="52" t="n">
        <x:f>'Controls'!$F$5*(H10*'Sources'!$J$49+I10*'Sources'!$J$50+J10*'Sources'!$J$51+K10*'Sources'!$J$52)</x:f>
        <x:v>10829154.856087027</x:v>
      </x:c>
      <x:c r="M10" s="53" t="n">
        <x:f>'Curve'!M11</x:f>
        <x:v>0.7771807295798715</x:v>
      </x:c>
      <x:c r="N10" s="21" t="n">
        <x:f>L10*M10</x:f>
        <x:v>8416210.471787125</x:v>
      </x:c>
      <x:c r="O10" s="21" t="n">
        <x:f>C10*N10</x:f>
        <x:v>42081052.358935624</x:v>
      </x:c>
      <x:c r="P10" s="21" t="n">
        <x:f>C10*O10</x:f>
        <x:v>210405261.79467812</x:v>
      </x:c>
      <x:c r="Q10" s="21" t="n">
        <x:f>IF(C10&gt;30,N10,0)</x:f>
        <x:v>0</x:v>
      </x:c>
      <x:c r="R10" s="52" t="n">
        <x:f>O10*'Curve'!N11</x:f>
        <x:v>0</x:v>
      </x:c>
      <x:c r="S10" s="52" t="n">
        <x:f>O10*'Curve'!O11</x:f>
        <x:v>42081052.358935624</x:v>
      </x:c>
      <x:c r="T10" s="52" t="n">
        <x:f>O10*'Curve'!P11</x:f>
        <x:v>0</x:v>
      </x:c>
      <x:c r="U10" s="52" t="n">
        <x:f>O10*'Curve'!Q11</x:f>
        <x:v>0</x:v>
      </x:c>
      <x:c r="V10" s="52" t="n">
        <x:f>O10*'Curve'!R11</x:f>
        <x:v>0</x:v>
      </x:c>
      <x:c r="W10" s="52" t="n">
        <x:f>L10*'Curve'!J11</x:f>
        <x:v>8416210.471787125</x:v>
      </x:c>
    </x:row>
    <x:row r="11" ht="20" customHeight="1">
      <x:c r="A11" s="2"/>
      <x:c r="B11" s="2"/>
      <x:c r="C11" s="2" t="n">
        <x:v>6</x:v>
      </x:c>
      <x:c r="D11" s="46" t="n">
        <x:f>IF(C11+'Sources'!$I$49-1&gt;='Controls'!$F$7,1,INDEX('Sources'!$D$15:$D$134,C11+'Sources'!$I$49))</x:f>
        <x:v>0.016455</x:v>
      </x:c>
      <x:c r="E11" s="46" t="n">
        <x:f>IF(C11+'Sources'!$I$50-1&gt;='Controls'!$F$7,1,INDEX('Sources'!$E$15:$E$134,C11+'Sources'!$I$50))</x:f>
        <x:v>0.014769</x:v>
      </x:c>
      <x:c r="F11" s="46" t="n">
        <x:f>IF(C11+'Sources'!$I$51-1&gt;='Controls'!$F$7,1,INDEX('Sources'!$D$15:$D$134,C11+'Sources'!$I$51))</x:f>
        <x:v>0.033802</x:v>
      </x:c>
      <x:c r="G11" s="46" t="n">
        <x:f>IF(C11+'Sources'!$I$52-1&gt;='Controls'!$F$7,1,INDEX('Sources'!$E$15:$E$134,C11+'Sources'!$I$52))</x:f>
        <x:v>0.041183</x:v>
      </x:c>
      <x:c r="H11" s="20" t="n">
        <x:f>H10*(1-D11)^'Controls'!$F$6</x:f>
        <x:v>0.9200285169900706</x:v>
      </x:c>
      <x:c r="I11" s="20" t="n">
        <x:f>I10*(1-E11)^'Controls'!$F$6</x:f>
        <x:v>0.9285946986820942</x:v>
      </x:c>
      <x:c r="J11" s="20" t="n">
        <x:f>J10*(1-F11)^'Controls'!$F$6</x:f>
        <x:v>0.8436895134997553</x:v>
      </x:c>
      <x:c r="K11" s="20" t="n">
        <x:f>K10*(1-G11)^'Controls'!$F$6</x:f>
        <x:v>0.8232183290961559</x:v>
      </x:c>
      <x:c r="L11" s="52" t="n">
        <x:f>'Controls'!$F$5*(H11*'Sources'!$J$49+I11*'Sources'!$J$50+J11*'Sources'!$J$51+K11*'Sources'!$J$52)</x:f>
        <x:v>10546593.174804227</x:v>
      </x:c>
      <x:c r="M11" s="53" t="n">
        <x:f>'Curve'!M12</x:f>
        <x:v>0.7375081511238692</x:v>
      </x:c>
      <x:c r="N11" s="21" t="n">
        <x:f>L11*M11</x:f>
        <x:v>7778198.433005484</x:v>
      </x:c>
      <x:c r="O11" s="21" t="n">
        <x:f>C11*N11</x:f>
        <x:v>46669190.59803291</x:v>
      </x:c>
      <x:c r="P11" s="21" t="n">
        <x:f>C11*O11</x:f>
        <x:v>280015143.58819747</x:v>
      </x:c>
      <x:c r="Q11" s="21" t="n">
        <x:f>IF(C11&gt;30,N11,0)</x:f>
        <x:v>0</x:v>
      </x:c>
      <x:c r="R11" s="52" t="n">
        <x:f>O11*'Curve'!N12</x:f>
        <x:v>0</x:v>
      </x:c>
      <x:c r="S11" s="52" t="n">
        <x:f>O11*'Curve'!O12</x:f>
        <x:v>37335352.47842633</x:v>
      </x:c>
      <x:c r="T11" s="52" t="n">
        <x:f>O11*'Curve'!P12</x:f>
        <x:v>9333838.119606582</x:v>
      </x:c>
      <x:c r="U11" s="52" t="n">
        <x:f>O11*'Curve'!Q12</x:f>
        <x:v>0</x:v>
      </x:c>
      <x:c r="V11" s="52" t="n">
        <x:f>O11*'Curve'!R12</x:f>
        <x:v>0</x:v>
      </x:c>
      <x:c r="W11" s="52" t="n">
        <x:f>L11*'Curve'!J12</x:f>
        <x:v>7778198.433005484</x:v>
      </x:c>
    </x:row>
    <x:row r="12" ht="20" customHeight="1">
      <x:c r="A12" s="2"/>
      <x:c r="B12" s="2"/>
      <x:c r="C12" s="2" t="n">
        <x:v>7</x:v>
      </x:c>
      <x:c r="D12" s="46" t="n">
        <x:f>IF(C12+'Sources'!$I$49-1&gt;='Controls'!$F$7,1,INDEX('Sources'!$D$15:$D$134,C12+'Sources'!$I$49))</x:f>
        <x:v>0.017574</x:v>
      </x:c>
      <x:c r="E12" s="46" t="n">
        <x:f>IF(C12+'Sources'!$I$50-1&gt;='Controls'!$F$7,1,INDEX('Sources'!$E$15:$E$134,C12+'Sources'!$I$50))</x:f>
        <x:v>0.016153</x:v>
      </x:c>
      <x:c r="F12" s="46" t="n">
        <x:f>IF(C12+'Sources'!$I$51-1&gt;='Controls'!$F$7,1,INDEX('Sources'!$D$15:$D$134,C12+'Sources'!$I$51))</x:f>
        <x:v>0.03701</x:v>
      </x:c>
      <x:c r="G12" s="46" t="n">
        <x:f>IF(C12+'Sources'!$I$52-1&gt;='Controls'!$F$7,1,INDEX('Sources'!$E$15:$E$134,C12+'Sources'!$I$52))</x:f>
        <x:v>0.045959</x:v>
      </x:c>
      <x:c r="H12" s="20" t="n">
        <x:f>H11*(1-D12)^'Controls'!$F$6</x:f>
        <x:v>0.9038599358324871</x:v>
      </x:c>
      <x:c r="I12" s="20" t="n">
        <x:f>I11*(1-E12)^'Controls'!$F$6</x:f>
        <x:v>0.9135951085142824</x:v>
      </x:c>
      <x:c r="J12" s="20" t="n">
        <x:f>J11*(1-F12)^'Controls'!$F$6</x:f>
        <x:v>0.8124645646051294</x:v>
      </x:c>
      <x:c r="K12" s="20" t="n">
        <x:f>K11*(1-G12)^'Controls'!$F$6</x:f>
        <x:v>0.7853840379092257</x:v>
      </x:c>
      <x:c r="L12" s="52" t="n">
        <x:f>'Controls'!$F$5*(H12*'Sources'!$J$49+I12*'Sources'!$J$50+J12*'Sources'!$J$51+K12*'Sources'!$J$52)</x:f>
        <x:v>10245910.940583374</x:v>
      </x:c>
      <x:c r="M12" s="53" t="n">
        <x:f>'Curve'!M13</x:f>
        <x:v>0.6990093237755484</x:v>
      </x:c>
      <x:c r="N12" s="21" t="n">
        <x:f>L12*M12</x:f>
        <x:v>7161987.278041678</x:v>
      </x:c>
      <x:c r="O12" s="21" t="n">
        <x:f>C12*N12</x:f>
        <x:v>50133910.946291745</x:v>
      </x:c>
      <x:c r="P12" s="21" t="n">
        <x:f>C12*O12</x:f>
        <x:v>350937376.6240422</x:v>
      </x:c>
      <x:c r="Q12" s="21" t="n">
        <x:f>IF(C12&gt;30,N12,0)</x:f>
        <x:v>0</x:v>
      </x:c>
      <x:c r="R12" s="52" t="n">
        <x:f>O12*'Curve'!N13</x:f>
        <x:v>0</x:v>
      </x:c>
      <x:c r="S12" s="52" t="n">
        <x:f>O12*'Curve'!O13</x:f>
        <x:v>30080346.567775045</x:v>
      </x:c>
      <x:c r="T12" s="52" t="n">
        <x:f>O12*'Curve'!P13</x:f>
        <x:v>20053564.3785167</x:v>
      </x:c>
      <x:c r="U12" s="52" t="n">
        <x:f>O12*'Curve'!Q13</x:f>
        <x:v>0</x:v>
      </x:c>
      <x:c r="V12" s="52" t="n">
        <x:f>O12*'Curve'!R13</x:f>
        <x:v>0</x:v>
      </x:c>
      <x:c r="W12" s="52" t="n">
        <x:f>L12*'Curve'!J13</x:f>
        <x:v>7161987.278041678</x:v>
      </x:c>
    </x:row>
    <x:row r="13" ht="20" customHeight="1">
      <x:c r="A13" s="2"/>
      <x:c r="B13" s="2"/>
      <x:c r="C13" s="2" t="n">
        <x:v>8</x:v>
      </x:c>
      <x:c r="D13" s="46" t="n">
        <x:f>IF(C13+'Sources'!$I$49-1&gt;='Controls'!$F$7,1,INDEX('Sources'!$D$15:$D$134,C13+'Sources'!$I$49))</x:f>
        <x:v>0.018735</x:v>
      </x:c>
      <x:c r="E13" s="46" t="n">
        <x:f>IF(C13+'Sources'!$I$50-1&gt;='Controls'!$F$7,1,INDEX('Sources'!$E$15:$E$134,C13+'Sources'!$I$50))</x:f>
        <x:v>0.017705</x:v>
      </x:c>
      <x:c r="F13" s="46" t="n">
        <x:f>IF(C13+'Sources'!$I$51-1&gt;='Controls'!$F$7,1,INDEX('Sources'!$D$15:$D$134,C13+'Sources'!$I$51))</x:f>
        <x:v>0.041158</x:v>
      </x:c>
      <x:c r="G13" s="46" t="n">
        <x:f>IF(C13+'Sources'!$I$52-1&gt;='Controls'!$F$7,1,INDEX('Sources'!$E$15:$E$134,C13+'Sources'!$I$52))</x:f>
        <x:v>0.051282</x:v>
      </x:c>
      <x:c r="H13" s="20" t="n">
        <x:f>H12*(1-D13)^'Controls'!$F$6</x:f>
        <x:v>0.8869261199346655</x:v>
      </x:c>
      <x:c r="I13" s="20" t="n">
        <x:f>I12*(1-E13)^'Controls'!$F$6</x:f>
        <x:v>0.897419907118037</x:v>
      </x:c>
      <x:c r="J13" s="20" t="n">
        <x:f>J12*(1-F13)^'Controls'!$F$6</x:f>
        <x:v>0.7790251480551115</x:v>
      </x:c>
      <x:c r="K13" s="20" t="n">
        <x:f>K12*(1-G13)^'Controls'!$F$6</x:f>
        <x:v>0.7451079736771647</x:v>
      </x:c>
      <x:c r="L13" s="52" t="n">
        <x:f>'Controls'!$F$5*(H13*'Sources'!$J$49+I13*'Sources'!$J$50+J13*'Sources'!$J$51+K13*'Sources'!$J$52)</x:f>
        <x:v>9925437.446354937</x:v>
      </x:c>
      <x:c r="M13" s="53" t="n">
        <x:f>'Curve'!M14</x:f>
        <x:v>0.661508090263131</x:v>
      </x:c>
      <x:c r="N13" s="21" t="n">
        <x:f>L13*M13</x:f>
        <x:v>6565757.170164421</x:v>
      </x:c>
      <x:c r="O13" s="21" t="n">
        <x:f>C13*N13</x:f>
        <x:v>52526057.36131537</x:v>
      </x:c>
      <x:c r="P13" s="21" t="n">
        <x:f>C13*O13</x:f>
        <x:v>420208458.89052296</x:v>
      </x:c>
      <x:c r="Q13" s="21" t="n">
        <x:f>IF(C13&gt;30,N13,0)</x:f>
        <x:v>0</x:v>
      </x:c>
      <x:c r="R13" s="52" t="n">
        <x:f>O13*'Curve'!N14</x:f>
        <x:v>0</x:v>
      </x:c>
      <x:c r="S13" s="52" t="n">
        <x:f>O13*'Curve'!O14</x:f>
        <x:v>21010422.94452615</x:v>
      </x:c>
      <x:c r="T13" s="52" t="n">
        <x:f>O13*'Curve'!P14</x:f>
        <x:v>31515634.41678922</x:v>
      </x:c>
      <x:c r="U13" s="52" t="n">
        <x:f>O13*'Curve'!Q14</x:f>
        <x:v>0</x:v>
      </x:c>
      <x:c r="V13" s="52" t="n">
        <x:f>O13*'Curve'!R14</x:f>
        <x:v>0</x:v>
      </x:c>
      <x:c r="W13" s="52" t="n">
        <x:f>L13*'Curve'!J14</x:f>
        <x:v>6565757.170164421</x:v>
      </x:c>
    </x:row>
    <x:row r="14" ht="20" customHeight="1">
      <x:c r="A14" s="2"/>
      <x:c r="B14" s="2"/>
      <x:c r="C14" s="2" t="n">
        <x:v>9</x:v>
      </x:c>
      <x:c r="D14" s="46" t="n">
        <x:f>IF(C14+'Sources'!$I$49-1&gt;='Controls'!$F$7,1,INDEX('Sources'!$D$15:$D$134,C14+'Sources'!$I$49))</x:f>
        <x:v>0.019981</x:v>
      </x:c>
      <x:c r="E14" s="46" t="n">
        <x:f>IF(C14+'Sources'!$I$50-1&gt;='Controls'!$F$7,1,INDEX('Sources'!$E$15:$E$134,C14+'Sources'!$I$50))</x:f>
        <x:v>0.019495</x:v>
      </x:c>
      <x:c r="F14" s="46" t="n">
        <x:f>IF(C14+'Sources'!$I$51-1&gt;='Controls'!$F$7,1,INDEX('Sources'!$D$15:$D$134,C14+'Sources'!$I$51))</x:f>
        <x:v>0.045461</x:v>
      </x:c>
      <x:c r="G14" s="46" t="n">
        <x:f>IF(C14+'Sources'!$I$52-1&gt;='Controls'!$F$7,1,INDEX('Sources'!$E$15:$E$134,C14+'Sources'!$I$52))</x:f>
        <x:v>0.057262</x:v>
      </x:c>
      <x:c r="H14" s="20" t="n">
        <x:f>H13*(1-D14)^'Controls'!$F$6</x:f>
        <x:v>0.8692044491322509</x:v>
      </x:c>
      <x:c r="I14" s="20" t="n">
        <x:f>I13*(1-E14)^'Controls'!$F$6</x:f>
        <x:v>0.8799247060287708</x:v>
      </x:c>
      <x:c r="J14" s="20" t="n">
        <x:f>J13*(1-F14)^'Controls'!$F$6</x:f>
        <x:v>0.743609885799378</x:v>
      </x:c>
      <x:c r="K14" s="20" t="n">
        <x:f>K13*(1-G14)^'Controls'!$F$6</x:f>
        <x:v>0.702441600888463</x:v>
      </x:c>
      <x:c r="L14" s="52" t="n">
        <x:f>'Controls'!$F$5*(H14*'Sources'!$J$49+I14*'Sources'!$J$50+J14*'Sources'!$J$51+K14*'Sources'!$J$52)</x:f>
        <x:v>9585541.92554659</x:v>
      </x:c>
      <x:c r="M14" s="53" t="n">
        <x:f>'Curve'!M15</x:f>
        <x:v>0.6249978133666958</x:v>
      </x:c>
      <x:c r="N14" s="21" t="n">
        <x:f>L14*M14</x:f>
        <x:v>5990942.743401405</x:v>
      </x:c>
      <x:c r="O14" s="21" t="n">
        <x:f>C14*N14</x:f>
        <x:v>53918484.69061265</x:v>
      </x:c>
      <x:c r="P14" s="21" t="n">
        <x:f>C14*O14</x:f>
        <x:v>485266362.2155139</x:v>
      </x:c>
      <x:c r="Q14" s="21" t="n">
        <x:f>IF(C14&gt;30,N14,0)</x:f>
        <x:v>0</x:v>
      </x:c>
      <x:c r="R14" s="52" t="n">
        <x:f>O14*'Curve'!N15</x:f>
        <x:v>0</x:v>
      </x:c>
      <x:c r="S14" s="52" t="n">
        <x:f>O14*'Curve'!O15</x:f>
        <x:v>10783696.938122531</x:v>
      </x:c>
      <x:c r="T14" s="52" t="n">
        <x:f>O14*'Curve'!P15</x:f>
        <x:v>43134787.752490126</x:v>
      </x:c>
      <x:c r="U14" s="52" t="n">
        <x:f>O14*'Curve'!Q15</x:f>
        <x:v>0</x:v>
      </x:c>
      <x:c r="V14" s="52" t="n">
        <x:f>O14*'Curve'!R15</x:f>
        <x:v>0</x:v>
      </x:c>
      <x:c r="W14" s="52" t="n">
        <x:f>L14*'Curve'!J15</x:f>
        <x:v>5990942.743401405</x:v>
      </x:c>
    </x:row>
    <x:row r="15" ht="20" customHeight="1">
      <x:c r="A15" s="2"/>
      <x:c r="B15" s="2"/>
      <x:c r="C15" s="2" t="n">
        <x:v>10</x:v>
      </x:c>
      <x:c r="D15" s="46" t="n">
        <x:f>IF(C15+'Sources'!$I$49-1&gt;='Controls'!$F$7,1,INDEX('Sources'!$D$15:$D$134,C15+'Sources'!$I$49))</x:f>
        <x:v>0.021366</x:v>
      </x:c>
      <x:c r="E15" s="46" t="n">
        <x:f>IF(C15+'Sources'!$I$50-1&gt;='Controls'!$F$7,1,INDEX('Sources'!$E$15:$E$134,C15+'Sources'!$I$50))</x:f>
        <x:v>0.021533</x:v>
      </x:c>
      <x:c r="F15" s="46" t="n">
        <x:f>IF(C15+'Sources'!$I$51-1&gt;='Controls'!$F$7,1,INDEX('Sources'!$D$15:$D$134,C15+'Sources'!$I$51))</x:f>
        <x:v>0.050346</x:v>
      </x:c>
      <x:c r="G15" s="46" t="n">
        <x:f>IF(C15+'Sources'!$I$52-1&gt;='Controls'!$F$7,1,INDEX('Sources'!$E$15:$E$134,C15+'Sources'!$I$52))</x:f>
        <x:v>0.064107</x:v>
      </x:c>
      <x:c r="H15" s="20" t="n">
        <x:f>H14*(1-D15)^'Controls'!$F$6</x:f>
        <x:v>0.8506330268720913</x:v>
      </x:c>
      <x:c r="I15" s="20" t="n">
        <x:f>I14*(1-E15)^'Controls'!$F$6</x:f>
        <x:v>0.8609772873338533</x:v>
      </x:c>
      <x:c r="J15" s="20" t="n">
        <x:f>J14*(1-F15)^'Controls'!$F$6</x:f>
        <x:v>0.7061721024889226</x:v>
      </x:c>
      <x:c r="K15" s="20" t="n">
        <x:f>K14*(1-G15)^'Controls'!$F$6</x:f>
        <x:v>0.6574101771803063</x:v>
      </x:c>
      <x:c r="L15" s="52" t="n">
        <x:f>'Controls'!$F$5*(H15*'Sources'!$J$49+I15*'Sources'!$J$50+J15*'Sources'!$J$51+K15*'Sources'!$J$52)</x:f>
        <x:v>9225577.78162552</x:v>
      </x:c>
      <x:c r="M15" s="53" t="n">
        <x:f>'Curve'!M16</x:f>
        <x:v>0.5895732920479508</x:v>
      </x:c>
      <x:c r="N15" s="21" t="n">
        <x:f>L15*M15</x:f>
        <x:v>5439154.263757389</x:v>
      </x:c>
      <x:c r="O15" s="21" t="n">
        <x:f>C15*N15</x:f>
        <x:v>54391542.63757389</x:v>
      </x:c>
      <x:c r="P15" s="21" t="n">
        <x:f>C15*O15</x:f>
        <x:v>543915426.3757389</x:v>
      </x:c>
      <x:c r="Q15" s="21" t="n">
        <x:f>IF(C15&gt;30,N15,0)</x:f>
        <x:v>0</x:v>
      </x:c>
      <x:c r="R15" s="52" t="n">
        <x:f>O15*'Curve'!N16</x:f>
        <x:v>0</x:v>
      </x:c>
      <x:c r="S15" s="52" t="n">
        <x:f>O15*'Curve'!O16</x:f>
        <x:v>0</x:v>
      </x:c>
      <x:c r="T15" s="52" t="n">
        <x:f>O15*'Curve'!P16</x:f>
        <x:v>54391542.63757389</x:v>
      </x:c>
      <x:c r="U15" s="52" t="n">
        <x:f>O15*'Curve'!Q16</x:f>
        <x:v>0</x:v>
      </x:c>
      <x:c r="V15" s="52" t="n">
        <x:f>O15*'Curve'!R16</x:f>
        <x:v>0</x:v>
      </x:c>
      <x:c r="W15" s="52" t="n">
        <x:f>L15*'Curve'!J16</x:f>
        <x:v>5439154.263757389</x:v>
      </x:c>
    </x:row>
    <x:row r="16" ht="20" customHeight="1">
      <x:c r="A16" s="2"/>
      <x:c r="B16" s="2"/>
      <x:c r="C16" s="2" t="n">
        <x:v>11</x:v>
      </x:c>
      <x:c r="D16" s="46" t="n">
        <x:f>IF(C16+'Sources'!$I$49-1&gt;='Controls'!$F$7,1,INDEX('Sources'!$D$15:$D$134,C16+'Sources'!$I$49))</x:f>
        <x:v>0.022903</x:v>
      </x:c>
      <x:c r="E16" s="46" t="n">
        <x:f>IF(C16+'Sources'!$I$50-1&gt;='Controls'!$F$7,1,INDEX('Sources'!$E$15:$E$134,C16+'Sources'!$I$50))</x:f>
        <x:v>0.023846</x:v>
      </x:c>
      <x:c r="F16" s="46" t="n">
        <x:f>IF(C16+'Sources'!$I$51-1&gt;='Controls'!$F$7,1,INDEX('Sources'!$D$15:$D$134,C16+'Sources'!$I$51))</x:f>
        <x:v>0.055633</x:v>
      </x:c>
      <x:c r="G16" s="46" t="n">
        <x:f>IF(C16+'Sources'!$I$52-1&gt;='Controls'!$F$7,1,INDEX('Sources'!$E$15:$E$134,C16+'Sources'!$I$52))</x:f>
        <x:v>0.071752</x:v>
      </x:c>
      <x:c r="H16" s="20" t="n">
        <x:f>H15*(1-D16)^'Controls'!$F$6</x:f>
        <x:v>0.8311509786576398</x:v>
      </x:c>
      <x:c r="I16" s="20" t="n">
        <x:f>I15*(1-E16)^'Controls'!$F$6</x:f>
        <x:v>0.8404464229400902</x:v>
      </x:c>
      <x:c r="J16" s="20" t="n">
        <x:f>J15*(1-F16)^'Controls'!$F$6</x:f>
        <x:v>0.6668856299111563</x:v>
      </x:c>
      <x:c r="K16" s="20" t="n">
        <x:f>K15*(1-G16)^'Controls'!$F$6</x:f>
        <x:v>0.6102396821472649</x:v>
      </x:c>
      <x:c r="L16" s="52" t="n">
        <x:f>'Controls'!$F$5*(H16*'Sources'!$J$49+I16*'Sources'!$J$50+J16*'Sources'!$J$51+K16*'Sources'!$J$52)</x:f>
        <x:v>8846168.140968453</x:v>
      </x:c>
      <x:c r="M16" s="53" t="n">
        <x:f>'Curve'!M17</x:f>
        <x:v>0.5553734587522553</x:v>
      </x:c>
      <x:c r="N16" s="21" t="n">
        <x:f>L16*M16</x:f>
        <x:v>4912926.997153658</x:v>
      </x:c>
      <x:c r="O16" s="21" t="n">
        <x:f>C16*N16</x:f>
        <x:v>54042196.96869025</x:v>
      </x:c>
      <x:c r="P16" s="21" t="n">
        <x:f>C16*O16</x:f>
        <x:v>594464166.6555927</x:v>
      </x:c>
      <x:c r="Q16" s="21" t="n">
        <x:f>IF(C16&gt;30,N16,0)</x:f>
        <x:v>0</x:v>
      </x:c>
      <x:c r="R16" s="52" t="n">
        <x:f>O16*'Curve'!N17</x:f>
        <x:v>0</x:v>
      </x:c>
      <x:c r="S16" s="52" t="n">
        <x:f>O16*'Curve'!O17</x:f>
        <x:v>0</x:v>
      </x:c>
      <x:c r="T16" s="52" t="n">
        <x:f>O16*'Curve'!P17</x:f>
        <x:v>48637977.27182122</x:v>
      </x:c>
      <x:c r="U16" s="52" t="n">
        <x:f>O16*'Curve'!Q17</x:f>
        <x:v>5404219.696869025</x:v>
      </x:c>
      <x:c r="V16" s="52" t="n">
        <x:f>O16*'Curve'!R17</x:f>
        <x:v>0</x:v>
      </x:c>
      <x:c r="W16" s="52" t="n">
        <x:f>L16*'Curve'!J17</x:f>
        <x:v>4912926.997153658</x:v>
      </x:c>
    </x:row>
    <x:row r="17" ht="20" customHeight="1">
      <x:c r="A17" s="2"/>
      <x:c r="B17" s="2"/>
      <x:c r="C17" s="2" t="n">
        <x:v>12</x:v>
      </x:c>
      <x:c r="D17" s="46" t="n">
        <x:f>IF(C17+'Sources'!$I$49-1&gt;='Controls'!$F$7,1,INDEX('Sources'!$D$15:$D$134,C17+'Sources'!$I$49))</x:f>
        <x:v>0.024615</x:v>
      </x:c>
      <x:c r="E17" s="46" t="n">
        <x:f>IF(C17+'Sources'!$I$50-1&gt;='Controls'!$F$7,1,INDEX('Sources'!$E$15:$E$134,C17+'Sources'!$I$50))</x:f>
        <x:v>0.026458</x:v>
      </x:c>
      <x:c r="F17" s="46" t="n">
        <x:f>IF(C17+'Sources'!$I$51-1&gt;='Controls'!$F$7,1,INDEX('Sources'!$D$15:$D$134,C17+'Sources'!$I$51))</x:f>
        <x:v>0.061757</x:v>
      </x:c>
      <x:c r="G17" s="46" t="n">
        <x:f>IF(C17+'Sources'!$I$52-1&gt;='Controls'!$F$7,1,INDEX('Sources'!$E$15:$E$134,C17+'Sources'!$I$52))</x:f>
        <x:v>0.08049</x:v>
      </x:c>
      <x:c r="H17" s="20" t="n">
        <x:f>H16*(1-D17)^'Controls'!$F$6</x:f>
        <x:v>0.8106921973179819</x:v>
      </x:c>
      <x:c r="I17" s="20" t="n">
        <x:f>I16*(1-E17)^'Controls'!$F$6</x:f>
        <x:v>0.8182098914819413</x:v>
      </x:c>
      <x:c r="J17" s="20" t="n">
        <x:f>J16*(1-F17)^'Controls'!$F$6</x:f>
        <x:v>0.625700774064733</x:v>
      </x:c>
      <x:c r="K17" s="20" t="n">
        <x:f>K16*(1-G17)^'Controls'!$F$6</x:f>
        <x:v>0.5611214901312316</x:v>
      </x:c>
      <x:c r="L17" s="52" t="n">
        <x:f>'Controls'!$F$5*(H17*'Sources'!$J$49+I17*'Sources'!$J$50+J17*'Sources'!$J$51+K17*'Sources'!$J$52)</x:f>
        <x:v>8447173.058987664</x:v>
      </x:c>
      <x:c r="M17" s="53" t="n">
        <x:f>'Curve'!M18</x:f>
        <x:v>0.5225415206257941</x:v>
      </x:c>
      <x:c r="N17" s="21" t="n">
        <x:f>L17*M17</x:f>
        <x:v>4413998.655232654</x:v>
      </x:c>
      <x:c r="O17" s="21" t="n">
        <x:f>C17*N17</x:f>
        <x:v>52967983.86279185</x:v>
      </x:c>
      <x:c r="P17" s="21" t="n">
        <x:f>C17*O17</x:f>
        <x:v>635615806.3535023</x:v>
      </x:c>
      <x:c r="Q17" s="21" t="n">
        <x:f>IF(C17&gt;30,N17,0)</x:f>
        <x:v>0</x:v>
      </x:c>
      <x:c r="R17" s="52" t="n">
        <x:f>O17*'Curve'!N18</x:f>
        <x:v>0</x:v>
      </x:c>
      <x:c r="S17" s="52" t="n">
        <x:f>O17*'Curve'!O18</x:f>
        <x:v>0</x:v>
      </x:c>
      <x:c r="T17" s="52" t="n">
        <x:f>O17*'Curve'!P18</x:f>
        <x:v>42374387.09023348</x:v>
      </x:c>
      <x:c r="U17" s="52" t="n">
        <x:f>O17*'Curve'!Q18</x:f>
        <x:v>10593596.77255837</x:v>
      </x:c>
      <x:c r="V17" s="52" t="n">
        <x:f>O17*'Curve'!R18</x:f>
        <x:v>0</x:v>
      </x:c>
      <x:c r="W17" s="52" t="n">
        <x:f>L17*'Curve'!J18</x:f>
        <x:v>4413998.655232654</x:v>
      </x:c>
    </x:row>
    <x:row r="18" ht="20" customHeight="1">
      <x:c r="A18" s="2"/>
      <x:c r="B18" s="2"/>
      <x:c r="C18" s="2" t="n">
        <x:v>13</x:v>
      </x:c>
      <x:c r="D18" s="46" t="n">
        <x:f>IF(C18+'Sources'!$I$49-1&gt;='Controls'!$F$7,1,INDEX('Sources'!$D$15:$D$134,C18+'Sources'!$I$49))</x:f>
        <x:v>0.026504</x:v>
      </x:c>
      <x:c r="E18" s="46" t="n">
        <x:f>IF(C18+'Sources'!$I$50-1&gt;='Controls'!$F$7,1,INDEX('Sources'!$E$15:$E$134,C18+'Sources'!$I$50))</x:f>
        <x:v>0.0297</x:v>
      </x:c>
      <x:c r="F18" s="46" t="n">
        <x:f>IF(C18+'Sources'!$I$51-1&gt;='Controls'!$F$7,1,INDEX('Sources'!$D$15:$D$134,C18+'Sources'!$I$51))</x:f>
        <x:v>0.068358</x:v>
      </x:c>
      <x:c r="G18" s="46" t="n">
        <x:f>IF(C18+'Sources'!$I$52-1&gt;='Controls'!$F$7,1,INDEX('Sources'!$E$15:$E$134,C18+'Sources'!$I$52))</x:f>
        <x:v>0.090566</x:v>
      </x:c>
      <x:c r="H18" s="20" t="n">
        <x:f>H17*(1-D18)^'Controls'!$F$6</x:f>
        <x:v>0.7892056113202661</x:v>
      </x:c>
      <x:c r="I18" s="20" t="n">
        <x:f>I17*(1-E18)^'Controls'!$F$6</x:f>
        <x:v>0.7939090577049277</x:v>
      </x:c>
      <x:c r="J18" s="20" t="n">
        <x:f>J17*(1-F18)^'Controls'!$F$6</x:f>
        <x:v>0.5829291205512159</x:v>
      </x:c>
      <x:c r="K18" s="20" t="n">
        <x:f>K17*(1-G18)^'Controls'!$F$6</x:f>
        <x:v>0.5103029612560065</x:v>
      </x:c>
      <x:c r="L18" s="52" t="n">
        <x:f>'Controls'!$F$5*(H18*'Sources'!$J$49+I18*'Sources'!$J$50+J18*'Sources'!$J$51+K18*'Sources'!$J$52)</x:f>
        <x:v>8029040.252497249</x:v>
      </x:c>
      <x:c r="M18" s="53" t="n">
        <x:f>'Curve'!M19</x:f>
        <x:v>0.4912010914581508</x:v>
      </x:c>
      <x:c r="N18" s="21" t="n">
        <x:f>L18*M18</x:f>
        <x:v>3943873.335388075</x:v>
      </x:c>
      <x:c r="O18" s="21" t="n">
        <x:f>C18*N18</x:f>
        <x:v>51270353.36004498</x:v>
      </x:c>
      <x:c r="P18" s="21" t="n">
        <x:f>C18*O18</x:f>
        <x:v>666514593.6805847</x:v>
      </x:c>
      <x:c r="Q18" s="21" t="n">
        <x:f>IF(C18&gt;30,N18,0)</x:f>
        <x:v>0</x:v>
      </x:c>
      <x:c r="R18" s="52" t="n">
        <x:f>O18*'Curve'!N19</x:f>
        <x:v>0</x:v>
      </x:c>
      <x:c r="S18" s="52" t="n">
        <x:f>O18*'Curve'!O19</x:f>
        <x:v>0</x:v>
      </x:c>
      <x:c r="T18" s="52" t="n">
        <x:f>O18*'Curve'!P19</x:f>
        <x:v>35889247.352031484</x:v>
      </x:c>
      <x:c r="U18" s="52" t="n">
        <x:f>O18*'Curve'!Q19</x:f>
        <x:v>15381106.008013492</x:v>
      </x:c>
      <x:c r="V18" s="52" t="n">
        <x:f>O18*'Curve'!R19</x:f>
        <x:v>0</x:v>
      </x:c>
      <x:c r="W18" s="52" t="n">
        <x:f>L18*'Curve'!J19</x:f>
        <x:v>3943873.335388075</x:v>
      </x:c>
    </x:row>
    <x:row r="19" ht="20" customHeight="1">
      <x:c r="A19" s="2"/>
      <x:c r="B19" s="2"/>
      <x:c r="C19" s="2" t="n">
        <x:v>14</x:v>
      </x:c>
      <x:c r="D19" s="46" t="n">
        <x:f>IF(C19+'Sources'!$I$49-1&gt;='Controls'!$F$7,1,INDEX('Sources'!$D$15:$D$134,C19+'Sources'!$I$49))</x:f>
        <x:v>0.028648</x:v>
      </x:c>
      <x:c r="E19" s="46" t="n">
        <x:f>IF(C19+'Sources'!$I$50-1&gt;='Controls'!$F$7,1,INDEX('Sources'!$E$15:$E$134,C19+'Sources'!$I$50))</x:f>
        <x:v>0.033135</x:v>
      </x:c>
      <x:c r="F19" s="46" t="n">
        <x:f>IF(C19+'Sources'!$I$51-1&gt;='Controls'!$F$7,1,INDEX('Sources'!$D$15:$D$134,C19+'Sources'!$I$51))</x:f>
        <x:v>0.07542</x:v>
      </x:c>
      <x:c r="G19" s="46" t="n">
        <x:f>IF(C19+'Sources'!$I$52-1&gt;='Controls'!$F$7,1,INDEX('Sources'!$E$15:$E$134,C19+'Sources'!$I$52))</x:f>
        <x:v>0.102204</x:v>
      </x:c>
      <x:c r="H19" s="20" t="n">
        <x:f>H18*(1-D19)^'Controls'!$F$6</x:f>
        <x:v>0.7665964489671632</x:v>
      </x:c>
      <x:c r="I19" s="20" t="n">
        <x:f>I18*(1-E19)^'Controls'!$F$6</x:f>
        <x:v>0.7676028810778749</x:v>
      </x:c>
      <x:c r="J19" s="20" t="n">
        <x:f>J18*(1-F19)^'Controls'!$F$6</x:f>
        <x:v>0.5389646062792433</x:v>
      </x:c>
      <x:c r="K19" s="20" t="n">
        <x:f>K18*(1-G19)^'Controls'!$F$6</x:f>
        <x:v>0.4581479574037976</x:v>
      </x:c>
      <x:c r="L19" s="52" t="n">
        <x:f>'Controls'!$F$5*(H19*'Sources'!$J$49+I19*'Sources'!$J$50+J19*'Sources'!$J$51+K19*'Sources'!$J$52)</x:f>
        <x:v>7593935.681184236</x:v>
      </x:c>
      <x:c r="M19" s="53" t="n">
        <x:f>'Curve'!M20</x:f>
        <x:v>0.4614444393411157</x:v>
      </x:c>
      <x:c r="N19" s="21" t="n">
        <x:f>L19*M19</x:f>
        <x:v>3504179.392796553</x:v>
      </x:c>
      <x:c r="O19" s="21" t="n">
        <x:f>C19*N19</x:f>
        <x:v>49058511.499151744</x:v>
      </x:c>
      <x:c r="P19" s="21" t="n">
        <x:f>C19*O19</x:f>
        <x:v>686819160.9881244</x:v>
      </x:c>
      <x:c r="Q19" s="21" t="n">
        <x:f>IF(C19&gt;30,N19,0)</x:f>
        <x:v>0</x:v>
      </x:c>
      <x:c r="R19" s="52" t="n">
        <x:f>O19*'Curve'!N20</x:f>
        <x:v>0</x:v>
      </x:c>
      <x:c r="S19" s="52" t="n">
        <x:f>O19*'Curve'!O20</x:f>
        <x:v>0</x:v>
      </x:c>
      <x:c r="T19" s="52" t="n">
        <x:f>O19*'Curve'!P20</x:f>
        <x:v>29435106.899491046</x:v>
      </x:c>
      <x:c r="U19" s="52" t="n">
        <x:f>O19*'Curve'!Q20</x:f>
        <x:v>19623404.5996607</x:v>
      </x:c>
      <x:c r="V19" s="52" t="n">
        <x:f>O19*'Curve'!R20</x:f>
        <x:v>0</x:v>
      </x:c>
      <x:c r="W19" s="52" t="n">
        <x:f>L19*'Curve'!J20</x:f>
        <x:v>3504179.392796553</x:v>
      </x:c>
    </x:row>
    <x:row r="20" ht="20" customHeight="1">
      <x:c r="A20" s="2"/>
      <x:c r="B20" s="2"/>
      <x:c r="C20" s="2" t="n">
        <x:v>15</x:v>
      </x:c>
      <x:c r="D20" s="46" t="n">
        <x:f>IF(C20+'Sources'!$I$49-1&gt;='Controls'!$F$7,1,INDEX('Sources'!$D$15:$D$134,C20+'Sources'!$I$49))</x:f>
        <x:v>0.031071</x:v>
      </x:c>
      <x:c r="E20" s="46" t="n">
        <x:f>IF(C20+'Sources'!$I$50-1&gt;='Controls'!$F$7,1,INDEX('Sources'!$E$15:$E$134,C20+'Sources'!$I$50))</x:f>
        <x:v>0.036982</x:v>
      </x:c>
      <x:c r="F20" s="46" t="n">
        <x:f>IF(C20+'Sources'!$I$51-1&gt;='Controls'!$F$7,1,INDEX('Sources'!$D$15:$D$134,C20+'Sources'!$I$51))</x:f>
        <x:v>0.083364</x:v>
      </x:c>
      <x:c r="G20" s="46" t="n">
        <x:f>IF(C20+'Sources'!$I$52-1&gt;='Controls'!$F$7,1,INDEX('Sources'!$E$15:$E$134,C20+'Sources'!$I$52))</x:f>
        <x:v>0.115178</x:v>
      </x:c>
      <x:c r="H20" s="20" t="n">
        <x:f>H19*(1-D20)^'Controls'!$F$6</x:f>
        <x:v>0.7427775307013045</x:v>
      </x:c>
      <x:c r="I20" s="20" t="n">
        <x:f>I19*(1-E20)^'Controls'!$F$6</x:f>
        <x:v>0.7392153913298529</x:v>
      </x:c>
      <x:c r="J20" s="20" t="n">
        <x:f>J19*(1-F20)^'Controls'!$F$6</x:f>
        <x:v>0.4940343608413804</x:v>
      </x:c>
      <x:c r="K20" s="20" t="n">
        <x:f>K19*(1-G20)^'Controls'!$F$6</x:f>
        <x:v>0.405379391965943</x:v>
      </x:c>
      <x:c r="L20" s="52" t="n">
        <x:f>'Controls'!$F$5*(H20*'Sources'!$J$49+I20*'Sources'!$J$50+J20*'Sources'!$J$51+K20*'Sources'!$J$52)</x:f>
        <x:v>7144220.024515443</x:v>
      </x:c>
      <x:c r="M20" s="53" t="n">
        <x:f>'Curve'!M21</x:f>
        <x:v>0.43332890223141757</x:v>
      </x:c>
      <x:c r="N20" s="21" t="n">
        <x:f>L20*M20</x:f>
        <x:v>3095797.020522988</x:v>
      </x:c>
      <x:c r="O20" s="21" t="n">
        <x:f>C20*N20</x:f>
        <x:v>46436955.30784482</x:v>
      </x:c>
      <x:c r="P20" s="21" t="n">
        <x:f>C20*O20</x:f>
        <x:v>696554329.6176722</x:v>
      </x:c>
      <x:c r="Q20" s="21" t="n">
        <x:f>IF(C20&gt;30,N20,0)</x:f>
        <x:v>0</x:v>
      </x:c>
      <x:c r="R20" s="52" t="n">
        <x:f>O20*'Curve'!N21</x:f>
        <x:v>0</x:v>
      </x:c>
      <x:c r="S20" s="52" t="n">
        <x:f>O20*'Curve'!O21</x:f>
        <x:v>0</x:v>
      </x:c>
      <x:c r="T20" s="52" t="n">
        <x:f>O20*'Curve'!P21</x:f>
        <x:v>23218477.65392241</x:v>
      </x:c>
      <x:c r="U20" s="52" t="n">
        <x:f>O20*'Curve'!Q21</x:f>
        <x:v>23218477.65392241</x:v>
      </x:c>
      <x:c r="V20" s="52" t="n">
        <x:f>O20*'Curve'!R21</x:f>
        <x:v>0</x:v>
      </x:c>
      <x:c r="W20" s="52" t="n">
        <x:f>L20*'Curve'!J21</x:f>
        <x:v>3095797.020522988</x:v>
      </x:c>
    </x:row>
    <x:row r="21" ht="20" customHeight="1">
      <x:c r="A21" s="2"/>
      <x:c r="B21" s="2"/>
      <x:c r="C21" s="2" t="n">
        <x:v>16</x:v>
      </x:c>
      <x:c r="D21" s="46" t="n">
        <x:f>IF(C21+'Sources'!$I$49-1&gt;='Controls'!$F$7,1,INDEX('Sources'!$D$15:$D$134,C21+'Sources'!$I$49))</x:f>
        <x:v>0.033802</x:v>
      </x:c>
      <x:c r="E21" s="46" t="n">
        <x:f>IF(C21+'Sources'!$I$50-1&gt;='Controls'!$F$7,1,INDEX('Sources'!$E$15:$E$134,C21+'Sources'!$I$50))</x:f>
        <x:v>0.041183</x:v>
      </x:c>
      <x:c r="F21" s="46" t="n">
        <x:f>IF(C21+'Sources'!$I$51-1&gt;='Controls'!$F$7,1,INDEX('Sources'!$D$15:$D$134,C21+'Sources'!$I$51))</x:f>
        <x:v>0.09268</x:v>
      </x:c>
      <x:c r="G21" s="46" t="n">
        <x:f>IF(C21+'Sources'!$I$52-1&gt;='Controls'!$F$7,1,INDEX('Sources'!$E$15:$E$134,C21+'Sources'!$I$52))</x:f>
        <x:v>0.129176</x:v>
      </x:c>
      <x:c r="H21" s="20" t="n">
        <x:f>H20*(1-D21)^'Controls'!$F$6</x:f>
        <x:v>0.7176701646085389</x:v>
      </x:c>
      <x:c r="I21" s="20" t="n">
        <x:f>I20*(1-E21)^'Controls'!$F$6</x:f>
        <x:v>0.7087722838687156</x:v>
      </x:c>
      <x:c r="J21" s="20" t="n">
        <x:f>J20*(1-F21)^'Controls'!$F$6</x:f>
        <x:v>0.4482472562786013</x:v>
      </x:c>
      <x:c r="K21" s="20" t="n">
        <x:f>K20*(1-G21)^'Controls'!$F$6</x:f>
        <x:v>0.3530141036293504</x:v>
      </x:c>
      <x:c r="L21" s="52" t="n">
        <x:f>'Controls'!$F$5*(H21*'Sources'!$J$49+I21*'Sources'!$J$50+J21*'Sources'!$J$51+K21*'Sources'!$J$52)</x:f>
        <x:v>6683111.425155618</x:v>
      </x:c>
      <x:c r="M21" s="53" t="n">
        <x:f>'Curve'!M22</x:f>
        <x:v>0.40687826852651265</x:v>
      </x:c>
      <x:c r="N21" s="21" t="n">
        <x:f>L21*M21</x:f>
        <x:v>2719212.8050370724</x:v>
      </x:c>
      <x:c r="O21" s="21" t="n">
        <x:f>C21*N21</x:f>
        <x:v>43507404.88059316</x:v>
      </x:c>
      <x:c r="P21" s="21" t="n">
        <x:f>C21*O21</x:f>
        <x:v>696118478.0894905</x:v>
      </x:c>
      <x:c r="Q21" s="21" t="n">
        <x:f>IF(C21&gt;30,N21,0)</x:f>
        <x:v>0</x:v>
      </x:c>
      <x:c r="R21" s="52" t="n">
        <x:f>O21*'Curve'!N22</x:f>
        <x:v>0</x:v>
      </x:c>
      <x:c r="S21" s="52" t="n">
        <x:f>O21*'Curve'!O22</x:f>
        <x:v>0</x:v>
      </x:c>
      <x:c r="T21" s="52" t="n">
        <x:f>O21*'Curve'!P22</x:f>
        <x:v>17402961.952237263</x:v>
      </x:c>
      <x:c r="U21" s="52" t="n">
        <x:f>O21*'Curve'!Q22</x:f>
        <x:v>26104442.928355895</x:v>
      </x:c>
      <x:c r="V21" s="52" t="n">
        <x:f>O21*'Curve'!R22</x:f>
        <x:v>0</x:v>
      </x:c>
      <x:c r="W21" s="52" t="n">
        <x:f>L21*'Curve'!J22</x:f>
        <x:v>2719212.8050370724</x:v>
      </x:c>
    </x:row>
    <x:row r="22" ht="20" customHeight="1">
      <x:c r="A22" s="2"/>
      <x:c r="B22" s="2"/>
      <x:c r="C22" s="2" t="n">
        <x:v>17</x:v>
      </x:c>
      <x:c r="D22" s="46" t="n">
        <x:f>IF(C22+'Sources'!$I$49-1&gt;='Controls'!$F$7,1,INDEX('Sources'!$D$15:$D$134,C22+'Sources'!$I$49))</x:f>
        <x:v>0.03701</x:v>
      </x:c>
      <x:c r="E22" s="46" t="n">
        <x:f>IF(C22+'Sources'!$I$50-1&gt;='Controls'!$F$7,1,INDEX('Sources'!$E$15:$E$134,C22+'Sources'!$I$50))</x:f>
        <x:v>0.045959</x:v>
      </x:c>
      <x:c r="F22" s="46" t="n">
        <x:f>IF(C22+'Sources'!$I$51-1&gt;='Controls'!$F$7,1,INDEX('Sources'!$D$15:$D$134,C22+'Sources'!$I$51))</x:f>
        <x:v>0.103459</x:v>
      </x:c>
      <x:c r="G22" s="46" t="n">
        <x:f>IF(C22+'Sources'!$I$52-1&gt;='Controls'!$F$7,1,INDEX('Sources'!$E$15:$E$134,C22+'Sources'!$I$52))</x:f>
        <x:v>0.144229</x:v>
      </x:c>
      <x:c r="H22" s="20" t="n">
        <x:f>H21*(1-D22)^'Controls'!$F$6</x:f>
        <x:v>0.691109191816377</x:v>
      </x:c>
      <x:c r="I22" s="20" t="n">
        <x:f>I21*(1-E22)^'Controls'!$F$6</x:f>
        <x:v>0.6761978184743933</x:v>
      </x:c>
      <x:c r="J22" s="20" t="n">
        <x:f>J21*(1-F22)^'Controls'!$F$6</x:f>
        <x:v>0.40187204339127347</x:v>
      </x:c>
      <x:c r="K22" s="20" t="n">
        <x:f>K21*(1-G22)^'Controls'!$F$6</x:f>
        <x:v>0.30209923247699283</x:v>
      </x:c>
      <x:c r="L22" s="52" t="n">
        <x:f>'Controls'!$F$5*(H22*'Sources'!$J$49+I22*'Sources'!$J$50+J22*'Sources'!$J$51+K22*'Sources'!$J$52)</x:f>
        <x:v>6213834.85847711</x:v>
      </x:c>
      <x:c r="M22" s="53" t="n">
        <x:f>'Curve'!M23</x:f>
        <x:v>0.3820868108177745</x:v>
      </x:c>
      <x:c r="N22" s="21" t="n">
        <x:f>L22*M22</x:f>
        <x:v>2374224.3440238363</x:v>
      </x:c>
      <x:c r="O22" s="21" t="n">
        <x:f>C22*N22</x:f>
        <x:v>40361813.84840522</x:v>
      </x:c>
      <x:c r="P22" s="21" t="n">
        <x:f>C22*O22</x:f>
        <x:v>686150835.4228888</x:v>
      </x:c>
      <x:c r="Q22" s="21" t="n">
        <x:f>IF(C22&gt;30,N22,0)</x:f>
        <x:v>0</x:v>
      </x:c>
      <x:c r="R22" s="52" t="n">
        <x:f>O22*'Curve'!N23</x:f>
        <x:v>0</x:v>
      </x:c>
      <x:c r="S22" s="52" t="n">
        <x:f>O22*'Curve'!O23</x:f>
        <x:v>0</x:v>
      </x:c>
      <x:c r="T22" s="52" t="n">
        <x:f>O22*'Curve'!P23</x:f>
        <x:v>12108544.154521566</x:v>
      </x:c>
      <x:c r="U22" s="52" t="n">
        <x:f>O22*'Curve'!Q23</x:f>
        <x:v>28253269.693883654</x:v>
      </x:c>
      <x:c r="V22" s="52" t="n">
        <x:f>O22*'Curve'!R23</x:f>
        <x:v>0</x:v>
      </x:c>
      <x:c r="W22" s="52" t="n">
        <x:f>L22*'Curve'!J23</x:f>
        <x:v>2374224.3440238363</x:v>
      </x:c>
    </x:row>
    <x:row r="23" ht="20" customHeight="1">
      <x:c r="A23" s="2"/>
      <x:c r="B23" s="2"/>
      <x:c r="C23" s="2" t="n">
        <x:v>18</x:v>
      </x:c>
      <x:c r="D23" s="46" t="n">
        <x:f>IF(C23+'Sources'!$I$49-1&gt;='Controls'!$F$7,1,INDEX('Sources'!$D$15:$D$134,C23+'Sources'!$I$49))</x:f>
        <x:v>0.041158</x:v>
      </x:c>
      <x:c r="E23" s="46" t="n">
        <x:f>IF(C23+'Sources'!$I$50-1&gt;='Controls'!$F$7,1,INDEX('Sources'!$E$15:$E$134,C23+'Sources'!$I$50))</x:f>
        <x:v>0.051282</x:v>
      </x:c>
      <x:c r="F23" s="46" t="n">
        <x:f>IF(C23+'Sources'!$I$51-1&gt;='Controls'!$F$7,1,INDEX('Sources'!$D$15:$D$134,C23+'Sources'!$I$51))</x:f>
        <x:v>0.115502</x:v>
      </x:c>
      <x:c r="G23" s="46" t="n">
        <x:f>IF(C23+'Sources'!$I$52-1&gt;='Controls'!$F$7,1,INDEX('Sources'!$E$15:$E$134,C23+'Sources'!$I$52))</x:f>
        <x:v>0.160353</x:v>
      </x:c>
      <x:c r="H23" s="20" t="n">
        <x:f>H22*(1-D23)^'Controls'!$F$6</x:f>
        <x:v>0.6626645196995985</x:v>
      </x:c>
      <x:c r="I23" s="20" t="n">
        <x:f>I22*(1-E23)^'Controls'!$F$6</x:f>
        <x:v>0.6415210419473895</x:v>
      </x:c>
      <x:c r="J23" s="20" t="n">
        <x:f>J22*(1-F23)^'Controls'!$F$6</x:f>
        <x:v>0.3554550186354946</x:v>
      </x:c>
      <x:c r="K23" s="20" t="n">
        <x:f>K22*(1-G23)^'Controls'!$F$6</x:f>
        <x:v>0.2536567142516096</x:v>
      </x:c>
      <x:c r="L23" s="52" t="n">
        <x:f>'Controls'!$F$5*(H23*'Sources'!$J$49+I23*'Sources'!$J$50+J23*'Sources'!$J$51+K23*'Sources'!$J$52)</x:f>
        <x:v>5739891.883602276</x:v>
      </x:c>
      <x:c r="M23" s="53" t="n">
        <x:f>'Curve'!M24</x:f>
        <x:v>0.3589244374660261</x:v>
      </x:c>
      <x:c r="N23" s="21" t="n">
        <x:f>L23*M23</x:f>
        <x:v>2060187.465437756</x:v>
      </x:c>
      <x:c r="O23" s="21" t="n">
        <x:f>C23*N23</x:f>
        <x:v>37083374.377879605</x:v>
      </x:c>
      <x:c r="P23" s="21" t="n">
        <x:f>C23*O23</x:f>
        <x:v>667500738.8018329</x:v>
      </x:c>
      <x:c r="Q23" s="21" t="n">
        <x:f>IF(C23&gt;30,N23,0)</x:f>
        <x:v>0</x:v>
      </x:c>
      <x:c r="R23" s="52" t="n">
        <x:f>O23*'Curve'!N24</x:f>
        <x:v>0</x:v>
      </x:c>
      <x:c r="S23" s="52" t="n">
        <x:f>O23*'Curve'!O24</x:f>
        <x:v>0</x:v>
      </x:c>
      <x:c r="T23" s="52" t="n">
        <x:f>O23*'Curve'!P24</x:f>
        <x:v>7416674.8755759215</x:v>
      </x:c>
      <x:c r="U23" s="52" t="n">
        <x:f>O23*'Curve'!Q24</x:f>
        <x:v>29666699.502303686</x:v>
      </x:c>
      <x:c r="V23" s="52" t="n">
        <x:f>O23*'Curve'!R24</x:f>
        <x:v>0</x:v>
      </x:c>
      <x:c r="W23" s="52" t="n">
        <x:f>L23*'Curve'!J24</x:f>
        <x:v>2060187.465437756</x:v>
      </x:c>
    </x:row>
    <x:row r="24" ht="20" customHeight="1">
      <x:c r="A24" s="2"/>
      <x:c r="B24" s="2"/>
      <x:c r="C24" s="2" t="n">
        <x:v>19</x:v>
      </x:c>
      <x:c r="D24" s="46" t="n">
        <x:f>IF(C24+'Sources'!$I$49-1&gt;='Controls'!$F$7,1,INDEX('Sources'!$D$15:$D$134,C24+'Sources'!$I$49))</x:f>
        <x:v>0.045461</x:v>
      </x:c>
      <x:c r="E24" s="46" t="n">
        <x:f>IF(C24+'Sources'!$I$50-1&gt;='Controls'!$F$7,1,INDEX('Sources'!$E$15:$E$134,C24+'Sources'!$I$50))</x:f>
        <x:v>0.057262</x:v>
      </x:c>
      <x:c r="F24" s="46" t="n">
        <x:f>IF(C24+'Sources'!$I$51-1&gt;='Controls'!$F$7,1,INDEX('Sources'!$D$15:$D$134,C24+'Sources'!$I$51))</x:f>
        <x:v>0.129018</x:v>
      </x:c>
      <x:c r="G24" s="46" t="n">
        <x:f>IF(C24+'Sources'!$I$52-1&gt;='Controls'!$F$7,1,INDEX('Sources'!$E$15:$E$134,C24+'Sources'!$I$52))</x:f>
        <x:v>0.177635</x:v>
      </x:c>
      <x:c r="H24" s="20" t="n">
        <x:f>H23*(1-D24)^'Controls'!$F$6</x:f>
        <x:v>0.632539127969535</x:v>
      </x:c>
      <x:c r="I24" s="20" t="n">
        <x:f>I23*(1-E24)^'Controls'!$F$6</x:f>
        <x:v>0.604786264043398</x:v>
      </x:c>
      <x:c r="J24" s="20" t="n">
        <x:f>J23*(1-F24)^'Controls'!$F$6</x:f>
        <x:v>0.30959492304118036</x:v>
      </x:c>
      <x:c r="K24" s="20" t="n">
        <x:f>K23*(1-G24)^'Controls'!$F$6</x:f>
        <x:v>0.20859840381552494</x:v>
      </x:c>
      <x:c r="L24" s="52" t="n">
        <x:f>'Controls'!$F$5*(H24*'Sources'!$J$49+I24*'Sources'!$J$50+J24*'Sources'!$J$51+K24*'Sources'!$J$52)</x:f>
        <x:v>5266556.156608915</x:v>
      </x:c>
      <x:c r="M24" s="53" t="n">
        <x:f>'Curve'!M25</x:f>
        <x:v>0.33734201752853754</x:v>
      </x:c>
      <x:c r="N24" s="21" t="n">
        <x:f>L24*M24</x:f>
        <x:v>1776630.6792977918</x:v>
      </x:c>
      <x:c r="O24" s="21" t="n">
        <x:f>C24*N24</x:f>
        <x:v>33755982.906658046</x:v>
      </x:c>
      <x:c r="P24" s="21" t="n">
        <x:f>C24*O24</x:f>
        <x:v>641363675.2265029</x:v>
      </x:c>
      <x:c r="Q24" s="21" t="n">
        <x:f>IF(C24&gt;30,N24,0)</x:f>
        <x:v>0</x:v>
      </x:c>
      <x:c r="R24" s="52" t="n">
        <x:f>O24*'Curve'!N25</x:f>
        <x:v>0</x:v>
      </x:c>
      <x:c r="S24" s="52" t="n">
        <x:f>O24*'Curve'!O25</x:f>
        <x:v>0</x:v>
      </x:c>
      <x:c r="T24" s="52" t="n">
        <x:f>O24*'Curve'!P25</x:f>
        <x:v>3375598.290665805</x:v>
      </x:c>
      <x:c r="U24" s="52" t="n">
        <x:f>O24*'Curve'!Q25</x:f>
        <x:v>30380384.61599224</x:v>
      </x:c>
      <x:c r="V24" s="52" t="n">
        <x:f>O24*'Curve'!R25</x:f>
        <x:v>0</x:v>
      </x:c>
      <x:c r="W24" s="52" t="n">
        <x:f>L24*'Curve'!J25</x:f>
        <x:v>1776630.6792977918</x:v>
      </x:c>
    </x:row>
    <x:row r="25" ht="20" customHeight="1">
      <x:c r="A25" s="2"/>
      <x:c r="B25" s="2"/>
      <x:c r="C25" s="2" t="n">
        <x:v>20</x:v>
      </x:c>
      <x:c r="D25" s="46" t="n">
        <x:f>IF(C25+'Sources'!$I$49-1&gt;='Controls'!$F$7,1,INDEX('Sources'!$D$15:$D$134,C25+'Sources'!$I$49))</x:f>
        <x:v>0.050346</x:v>
      </x:c>
      <x:c r="E25" s="46" t="n">
        <x:f>IF(C25+'Sources'!$I$50-1&gt;='Controls'!$F$7,1,INDEX('Sources'!$E$15:$E$134,C25+'Sources'!$I$50))</x:f>
        <x:v>0.064107</x:v>
      </x:c>
      <x:c r="F25" s="46" t="n">
        <x:f>IF(C25+'Sources'!$I$51-1&gt;='Controls'!$F$7,1,INDEX('Sources'!$D$15:$D$134,C25+'Sources'!$I$51))</x:f>
        <x:v>0.14381</x:v>
      </x:c>
      <x:c r="G25" s="46" t="n">
        <x:f>IF(C25+'Sources'!$I$52-1&gt;='Controls'!$F$7,1,INDEX('Sources'!$E$15:$E$134,C25+'Sources'!$I$52))</x:f>
        <x:v>0.196502</x:v>
      </x:c>
      <x:c r="H25" s="20" t="n">
        <x:f>H24*(1-D25)^'Controls'!$F$6</x:f>
        <x:v>0.6006933130327808</x:v>
      </x:c>
      <x:c r="I25" s="20" t="n">
        <x:f>I24*(1-E25)^'Controls'!$F$6</x:f>
        <x:v>0.5660152310143678</x:v>
      </x:c>
      <x:c r="J25" s="20" t="n">
        <x:f>J24*(1-F25)^'Controls'!$F$6</x:f>
        <x:v>0.26507207715862824</x:v>
      </x:c>
      <x:c r="K25" s="20" t="n">
        <x:f>K24*(1-G25)^'Controls'!$F$6</x:f>
        <x:v>0.16760840026896667</x:v>
      </x:c>
      <x:c r="L25" s="52" t="n">
        <x:f>'Controls'!$F$5*(H25*'Sources'!$J$49+I25*'Sources'!$J$50+J25*'Sources'!$J$51+K25*'Sources'!$J$52)</x:f>
        <x:v>4798167.064424231</x:v>
      </x:c>
      <x:c r="M25" s="53" t="n">
        <x:f>'Curve'!M26</x:f>
        <x:v>0.31727634846913066</x:v>
      </x:c>
      <x:c r="N25" s="21" t="n">
        <x:f>L25*M25</x:f>
        <x:v>1522344.9255453679</x:v>
      </x:c>
      <x:c r="O25" s="21" t="n">
        <x:f>C25*N25</x:f>
        <x:v>30446898.51090736</x:v>
      </x:c>
      <x:c r="P25" s="21" t="n">
        <x:f>C25*O25</x:f>
        <x:v>608937970.2181472</x:v>
      </x:c>
      <x:c r="Q25" s="21" t="n">
        <x:f>IF(C25&gt;30,N25,0)</x:f>
        <x:v>0</x:v>
      </x:c>
      <x:c r="R25" s="52" t="n">
        <x:f>O25*'Curve'!N26</x:f>
        <x:v>0</x:v>
      </x:c>
      <x:c r="S25" s="52" t="n">
        <x:f>O25*'Curve'!O26</x:f>
        <x:v>0</x:v>
      </x:c>
      <x:c r="T25" s="52" t="n">
        <x:f>O25*'Curve'!P26</x:f>
        <x:v>0</x:v>
      </x:c>
      <x:c r="U25" s="52" t="n">
        <x:f>O25*'Curve'!Q26</x:f>
        <x:v>30446898.51090736</x:v>
      </x:c>
      <x:c r="V25" s="52" t="n">
        <x:f>O25*'Curve'!R26</x:f>
        <x:v>0</x:v>
      </x:c>
      <x:c r="W25" s="52" t="n">
        <x:f>L25*'Curve'!J26</x:f>
        <x:v>1522344.9255453679</x:v>
      </x:c>
    </x:row>
    <x:row r="26" ht="20" customHeight="1">
      <x:c r="A26" s="2"/>
      <x:c r="B26" s="2"/>
      <x:c r="C26" s="2" t="n">
        <x:v>21</x:v>
      </x:c>
      <x:c r="D26" s="46" t="n">
        <x:f>IF(C26+'Sources'!$I$49-1&gt;='Controls'!$F$7,1,INDEX('Sources'!$D$15:$D$134,C26+'Sources'!$I$49))</x:f>
        <x:v>0.055633</x:v>
      </x:c>
      <x:c r="E26" s="46" t="n">
        <x:f>IF(C26+'Sources'!$I$50-1&gt;='Controls'!$F$7,1,INDEX('Sources'!$E$15:$E$134,C26+'Sources'!$I$50))</x:f>
        <x:v>0.071752</x:v>
      </x:c>
      <x:c r="F26" s="46" t="n">
        <x:f>IF(C26+'Sources'!$I$51-1&gt;='Controls'!$F$7,1,INDEX('Sources'!$D$15:$D$134,C26+'Sources'!$I$51))</x:f>
        <x:v>0.159458</x:v>
      </x:c>
      <x:c r="G26" s="46" t="n">
        <x:f>IF(C26+'Sources'!$I$52-1&gt;='Controls'!$F$7,1,INDEX('Sources'!$E$15:$E$134,C26+'Sources'!$I$52))</x:f>
        <x:v>0.216846</x:v>
      </x:c>
      <x:c r="H26" s="20" t="n">
        <x:f>H25*(1-D26)^'Controls'!$F$6</x:f>
        <x:v>0.5672749419488281</x:v>
      </x:c>
      <x:c r="I26" s="20" t="n">
        <x:f>I25*(1-E26)^'Controls'!$F$6</x:f>
        <x:v>0.5254025061586248</x:v>
      </x:c>
      <x:c r="J26" s="20" t="n">
        <x:f>J25*(1-F26)^'Controls'!$F$6</x:f>
        <x:v>0.2228042138790677</x:v>
      </x:c>
      <x:c r="K26" s="20" t="n">
        <x:f>K25*(1-G26)^'Controls'!$F$6</x:f>
        <x:v>0.13126318910424234</x:v>
      </x:c>
      <x:c r="L26" s="52" t="n">
        <x:f>'Controls'!$F$5*(H26*'Sources'!$J$49+I26*'Sources'!$J$50+J26*'Sources'!$J$51+K26*'Sources'!$J$52)</x:f>
        <x:v>4340234.553272289</x:v>
      </x:c>
      <x:c r="M26" s="53" t="n">
        <x:f>'Curve'!M27</x:f>
        <x:v>0.2986545082576148</x:v>
      </x:c>
      <x:c r="N26" s="21" t="n">
        <x:f>L26*M26</x:f>
        <x:v>1296230.616230244</x:v>
      </x:c>
      <x:c r="O26" s="21" t="n">
        <x:f>C26*N26</x:f>
        <x:v>27220842.940835126</x:v>
      </x:c>
      <x:c r="P26" s="21" t="n">
        <x:f>C26*O26</x:f>
        <x:v>571637701.7575376</x:v>
      </x:c>
      <x:c r="Q26" s="21" t="n">
        <x:f>IF(C26&gt;30,N26,0)</x:f>
        <x:v>0</x:v>
      </x:c>
      <x:c r="R26" s="52" t="n">
        <x:f>O26*'Curve'!N27</x:f>
        <x:v>0</x:v>
      </x:c>
      <x:c r="S26" s="52" t="n">
        <x:f>O26*'Curve'!O27</x:f>
        <x:v>0</x:v>
      </x:c>
      <x:c r="T26" s="52" t="n">
        <x:f>O26*'Curve'!P27</x:f>
        <x:v>0</x:v>
      </x:c>
      <x:c r="U26" s="52" t="n">
        <x:f>O26*'Curve'!Q27</x:f>
        <x:v>24498758.646751612</x:v>
      </x:c>
      <x:c r="V26" s="52" t="n">
        <x:f>O26*'Curve'!R27</x:f>
        <x:v>2722084.294083513</x:v>
      </x:c>
      <x:c r="W26" s="52" t="n">
        <x:f>L26*'Curve'!J27</x:f>
        <x:v>1296230.616230244</x:v>
      </x:c>
    </x:row>
    <x:row r="27" ht="20" customHeight="1">
      <x:c r="A27" s="2"/>
      <x:c r="B27" s="2"/>
      <x:c r="C27" s="2" t="n">
        <x:v>22</x:v>
      </x:c>
      <x:c r="D27" s="46" t="n">
        <x:f>IF(C27+'Sources'!$I$49-1&gt;='Controls'!$F$7,1,INDEX('Sources'!$D$15:$D$134,C27+'Sources'!$I$49))</x:f>
        <x:v>0.061757</x:v>
      </x:c>
      <x:c r="E27" s="46" t="n">
        <x:f>IF(C27+'Sources'!$I$50-1&gt;='Controls'!$F$7,1,INDEX('Sources'!$E$15:$E$134,C27+'Sources'!$I$50))</x:f>
        <x:v>0.08049</x:v>
      </x:c>
      <x:c r="F27" s="46" t="n">
        <x:f>IF(C27+'Sources'!$I$51-1&gt;='Controls'!$F$7,1,INDEX('Sources'!$D$15:$D$134,C27+'Sources'!$I$51))</x:f>
        <x:v>0.176551</x:v>
      </x:c>
      <x:c r="G27" s="46" t="n">
        <x:f>IF(C27+'Sources'!$I$52-1&gt;='Controls'!$F$7,1,INDEX('Sources'!$E$15:$E$134,C27+'Sources'!$I$52))</x:f>
        <x:v>0.23875</x:v>
      </x:c>
      <x:c r="H27" s="20" t="n">
        <x:f>H26*(1-D27)^'Controls'!$F$6</x:f>
        <x:v>0.5322417433588944</x:v>
      </x:c>
      <x:c r="I27" s="20" t="n">
        <x:f>I26*(1-E27)^'Controls'!$F$6</x:f>
        <x:v>0.4831128584379171</x:v>
      </x:c>
      <x:c r="J27" s="20" t="n">
        <x:f>J26*(1-F27)^'Controls'!$F$6</x:f>
        <x:v>0.18346790711450442</x:v>
      </x:c>
      <x:c r="K27" s="20" t="n">
        <x:f>K26*(1-G27)^'Controls'!$F$6</x:f>
        <x:v>0.09992410270560448</x:v>
      </x:c>
      <x:c r="L27" s="52" t="n">
        <x:f>'Controls'!$F$5*(H27*'Sources'!$J$49+I27*'Sources'!$J$50+J27*'Sources'!$J$51+K27*'Sources'!$J$52)</x:f>
        <x:v>3896239.8348507616</x:v>
      </x:c>
      <x:c r="M27" s="53" t="n">
        <x:f>'Curve'!M28</x:f>
        <x:v>0.2813975022430376</x:v>
      </x:c>
      <x:c r="N27" s="21" t="n">
        <x:f>L27*M27</x:f>
        <x:v>1096392.1576668296</x:v>
      </x:c>
      <x:c r="O27" s="21" t="n">
        <x:f>C27*N27</x:f>
        <x:v>24120627.468670253</x:v>
      </x:c>
      <x:c r="P27" s="21" t="n">
        <x:f>C27*O27</x:f>
        <x:v>530653804.31074554</x:v>
      </x:c>
      <x:c r="Q27" s="21" t="n">
        <x:f>IF(C27&gt;30,N27,0)</x:f>
        <x:v>0</x:v>
      </x:c>
      <x:c r="R27" s="52" t="n">
        <x:f>O27*'Curve'!N28</x:f>
        <x:v>0</x:v>
      </x:c>
      <x:c r="S27" s="52" t="n">
        <x:f>O27*'Curve'!O28</x:f>
        <x:v>0</x:v>
      </x:c>
      <x:c r="T27" s="52" t="n">
        <x:f>O27*'Curve'!P28</x:f>
        <x:v>0</x:v>
      </x:c>
      <x:c r="U27" s="52" t="n">
        <x:f>O27*'Curve'!Q28</x:f>
        <x:v>19296501.974936202</x:v>
      </x:c>
      <x:c r="V27" s="52" t="n">
        <x:f>O27*'Curve'!R28</x:f>
        <x:v>4824125.493734051</x:v>
      </x:c>
      <x:c r="W27" s="52" t="n">
        <x:f>L27*'Curve'!J28</x:f>
        <x:v>1096392.1576668296</x:v>
      </x:c>
    </x:row>
    <x:row r="28" ht="20" customHeight="1">
      <x:c r="A28" s="2"/>
      <x:c r="B28" s="2"/>
      <x:c r="C28" s="2" t="n">
        <x:v>23</x:v>
      </x:c>
      <x:c r="D28" s="46" t="n">
        <x:f>IF(C28+'Sources'!$I$49-1&gt;='Controls'!$F$7,1,INDEX('Sources'!$D$15:$D$134,C28+'Sources'!$I$49))</x:f>
        <x:v>0.068358</x:v>
      </x:c>
      <x:c r="E28" s="46" t="n">
        <x:f>IF(C28+'Sources'!$I$50-1&gt;='Controls'!$F$7,1,INDEX('Sources'!$E$15:$E$134,C28+'Sources'!$I$50))</x:f>
        <x:v>0.090566</x:v>
      </x:c>
      <x:c r="F28" s="46" t="n">
        <x:f>IF(C28+'Sources'!$I$51-1&gt;='Controls'!$F$7,1,INDEX('Sources'!$D$15:$D$134,C28+'Sources'!$I$51))</x:f>
        <x:v>0.19536</x:v>
      </x:c>
      <x:c r="G28" s="46" t="n">
        <x:f>IF(C28+'Sources'!$I$52-1&gt;='Controls'!$F$7,1,INDEX('Sources'!$E$15:$E$134,C28+'Sources'!$I$52))</x:f>
        <x:v>0.261359</x:v>
      </x:c>
      <x:c r="H28" s="20" t="n">
        <x:f>H27*(1-D28)^'Controls'!$F$6</x:f>
        <x:v>0.4958587622663671</x:v>
      </x:c>
      <x:c r="I28" s="20" t="n">
        <x:f>I27*(1-E28)^'Controls'!$F$6</x:f>
        <x:v>0.4393592593006287</x:v>
      </x:c>
      <x:c r="J28" s="20" t="n">
        <x:f>J27*(1-F28)^'Controls'!$F$6</x:f>
        <x:v>0.14762561678061484</x:v>
      </x:c>
      <x:c r="K28" s="20" t="n">
        <x:f>K27*(1-G28)^'Controls'!$F$6</x:f>
        <x:v>0.0738080391465704</x:v>
      </x:c>
      <x:c r="L28" s="52" t="n">
        <x:f>'Controls'!$F$5*(H28*'Sources'!$J$49+I28*'Sources'!$J$50+J28*'Sources'!$J$51+K28*'Sources'!$J$52)</x:f>
        <x:v>3469955.0324825426</x:v>
      </x:c>
      <x:c r="M28" s="53" t="n">
        <x:f>'Curve'!M29</x:f>
        <x:v>0.26542321308724165</x:v>
      </x:c>
      <x:c r="N28" s="21" t="n">
        <x:f>L28*M28</x:f>
        <x:v>921006.6139897604</x:v>
      </x:c>
      <x:c r="O28" s="21" t="n">
        <x:f>C28*N28</x:f>
        <x:v>21183152.12176449</x:v>
      </x:c>
      <x:c r="P28" s="21" t="n">
        <x:f>C28*O28</x:f>
        <x:v>487212498.80058324</x:v>
      </x:c>
      <x:c r="Q28" s="21" t="n">
        <x:f>IF(C28&gt;30,N28,0)</x:f>
        <x:v>0</x:v>
      </x:c>
      <x:c r="R28" s="52" t="n">
        <x:f>O28*'Curve'!N29</x:f>
        <x:v>0</x:v>
      </x:c>
      <x:c r="S28" s="52" t="n">
        <x:f>O28*'Curve'!O29</x:f>
        <x:v>0</x:v>
      </x:c>
      <x:c r="T28" s="52" t="n">
        <x:f>O28*'Curve'!P29</x:f>
        <x:v>0</x:v>
      </x:c>
      <x:c r="U28" s="52" t="n">
        <x:f>O28*'Curve'!Q29</x:f>
        <x:v>14828206.485235142</x:v>
      </x:c>
      <x:c r="V28" s="52" t="n">
        <x:f>O28*'Curve'!R29</x:f>
        <x:v>6354945.636529346</x:v>
      </x:c>
      <x:c r="W28" s="52" t="n">
        <x:f>L28*'Curve'!J29</x:f>
        <x:v>921006.6139897604</x:v>
      </x:c>
    </x:row>
    <x:row r="29" ht="20" customHeight="1">
      <x:c r="A29" s="2"/>
      <x:c r="B29" s="2"/>
      <x:c r="C29" s="2" t="n">
        <x:v>24</x:v>
      </x:c>
      <x:c r="D29" s="46" t="n">
        <x:f>IF(C29+'Sources'!$I$49-1&gt;='Controls'!$F$7,1,INDEX('Sources'!$D$15:$D$134,C29+'Sources'!$I$49))</x:f>
        <x:v>0.07542</x:v>
      </x:c>
      <x:c r="E29" s="46" t="n">
        <x:f>IF(C29+'Sources'!$I$50-1&gt;='Controls'!$F$7,1,INDEX('Sources'!$E$15:$E$134,C29+'Sources'!$I$50))</x:f>
        <x:v>0.102204</x:v>
      </x:c>
      <x:c r="F29" s="46" t="n">
        <x:f>IF(C29+'Sources'!$I$51-1&gt;='Controls'!$F$7,1,INDEX('Sources'!$D$15:$D$134,C29+'Sources'!$I$51))</x:f>
        <x:v>0.216286</x:v>
      </x:c>
      <x:c r="G29" s="46" t="n">
        <x:f>IF(C29+'Sources'!$I$52-1&gt;='Controls'!$F$7,1,INDEX('Sources'!$E$15:$E$134,C29+'Sources'!$I$52))</x:f>
        <x:v>0.283899</x:v>
      </x:c>
      <x:c r="H29" s="20" t="n">
        <x:f>H28*(1-D29)^'Controls'!$F$6</x:f>
        <x:v>0.45846109441623767</x:v>
      </x:c>
      <x:c r="I29" s="20" t="n">
        <x:f>I28*(1-E29)^'Controls'!$F$6</x:f>
        <x:v>0.39445498556306724</x:v>
      </x:c>
      <x:c r="J29" s="20" t="n">
        <x:f>J28*(1-F29)^'Controls'!$F$6</x:f>
        <x:v>0.11569626262960278</x:v>
      </x:c>
      <x:c r="K29" s="20" t="n">
        <x:f>K28*(1-G29)^'Controls'!$F$6</x:f>
        <x:v>0.05285401064089821</x:v>
      </x:c>
      <x:c r="L29" s="52" t="n">
        <x:f>'Controls'!$F$5*(H29*'Sources'!$J$49+I29*'Sources'!$J$50+J29*'Sources'!$J$51+K29*'Sources'!$J$52)</x:f>
        <x:v>3064399.0597494175</x:v>
      </x:c>
      <x:c r="M29" s="53" t="n">
        <x:f>'Curve'!M30</x:f>
        <x:v>0.2506487136937683</x:v>
      </x:c>
      <x:c r="N29" s="21" t="n">
        <x:f>L29*M29</x:f>
        <x:v>768087.6825705845</x:v>
      </x:c>
      <x:c r="O29" s="21" t="n">
        <x:f>C29*N29</x:f>
        <x:v>18434104.381694026</x:v>
      </x:c>
      <x:c r="P29" s="21" t="n">
        <x:f>C29*O29</x:f>
        <x:v>442418505.16065663</x:v>
      </x:c>
      <x:c r="Q29" s="21" t="n">
        <x:f>IF(C29&gt;30,N29,0)</x:f>
        <x:v>0</x:v>
      </x:c>
      <x:c r="R29" s="52" t="n">
        <x:f>O29*'Curve'!N30</x:f>
        <x:v>0</x:v>
      </x:c>
      <x:c r="S29" s="52" t="n">
        <x:f>O29*'Curve'!O30</x:f>
        <x:v>0</x:v>
      </x:c>
      <x:c r="T29" s="52" t="n">
        <x:f>O29*'Curve'!P30</x:f>
        <x:v>0</x:v>
      </x:c>
      <x:c r="U29" s="52" t="n">
        <x:f>O29*'Curve'!Q30</x:f>
        <x:v>11060462.629016416</x:v>
      </x:c>
      <x:c r="V29" s="52" t="n">
        <x:f>O29*'Curve'!R30</x:f>
        <x:v>7373641.752677611</x:v>
      </x:c>
      <x:c r="W29" s="52" t="n">
        <x:f>L29*'Curve'!J30</x:f>
        <x:v>768087.6825705845</x:v>
      </x:c>
    </x:row>
    <x:row r="30" ht="20" customHeight="1">
      <x:c r="A30" s="2"/>
      <x:c r="B30" s="2"/>
      <x:c r="C30" s="2" t="n">
        <x:v>25</x:v>
      </x:c>
      <x:c r="D30" s="46" t="n">
        <x:f>IF(C30+'Sources'!$I$49-1&gt;='Controls'!$F$7,1,INDEX('Sources'!$D$15:$D$134,C30+'Sources'!$I$49))</x:f>
        <x:v>0.083364</x:v>
      </x:c>
      <x:c r="E30" s="46" t="n">
        <x:f>IF(C30+'Sources'!$I$50-1&gt;='Controls'!$F$7,1,INDEX('Sources'!$E$15:$E$134,C30+'Sources'!$I$50))</x:f>
        <x:v>0.115178</x:v>
      </x:c>
      <x:c r="F30" s="46" t="n">
        <x:f>IF(C30+'Sources'!$I$51-1&gt;='Controls'!$F$7,1,INDEX('Sources'!$D$15:$D$134,C30+'Sources'!$I$51))</x:f>
        <x:v>0.238799</x:v>
      </x:c>
      <x:c r="G30" s="46" t="n">
        <x:f>IF(C30+'Sources'!$I$52-1&gt;='Controls'!$F$7,1,INDEX('Sources'!$E$15:$E$134,C30+'Sources'!$I$52))</x:f>
        <x:v>0.306491</x:v>
      </x:c>
      <x:c r="H30" s="20" t="n">
        <x:f>H29*(1-D30)^'Controls'!$F$6</x:f>
        <x:v>0.42024194374132245</x:v>
      </x:c>
      <x:c r="I30" s="20" t="n">
        <x:f>I29*(1-E30)^'Controls'!$F$6</x:f>
        <x:v>0.34902244923588427</x:v>
      </x:c>
      <x:c r="J30" s="20" t="n">
        <x:f>J29*(1-F30)^'Controls'!$F$6</x:f>
        <x:v>0.08806811080991626</x:v>
      </x:c>
      <x:c r="K30" s="20" t="n">
        <x:f>K29*(1-G30)^'Controls'!$F$6</x:f>
        <x:v>0.03665473206555867</x:v>
      </x:c>
      <x:c r="L30" s="52" t="n">
        <x:f>'Controls'!$F$5*(H30*'Sources'!$J$49+I30*'Sources'!$J$50+J30*'Sources'!$J$51+K30*'Sources'!$J$52)</x:f>
        <x:v>2681961.7075580447</x:v>
      </x:c>
      <x:c r="M30" s="53" t="n">
        <x:f>'Curve'!M31</x:f>
        <x:v>0.2369920258765645</x:v>
      </x:c>
      <x:c r="N30" s="21" t="n">
        <x:f>L30*M30</x:f>
        <x:v>635603.5383975513</x:v>
      </x:c>
      <x:c r="O30" s="21" t="n">
        <x:f>C30*N30</x:f>
        <x:v>15890088.459938781</x:v>
      </x:c>
      <x:c r="P30" s="21" t="n">
        <x:f>C30*O30</x:f>
        <x:v>397252211.49846953</x:v>
      </x:c>
      <x:c r="Q30" s="21" t="n">
        <x:f>IF(C30&gt;30,N30,0)</x:f>
        <x:v>0</x:v>
      </x:c>
      <x:c r="R30" s="52" t="n">
        <x:f>O30*'Curve'!N31</x:f>
        <x:v>0</x:v>
      </x:c>
      <x:c r="S30" s="52" t="n">
        <x:f>O30*'Curve'!O31</x:f>
        <x:v>0</x:v>
      </x:c>
      <x:c r="T30" s="52" t="n">
        <x:f>O30*'Curve'!P31</x:f>
        <x:v>0</x:v>
      </x:c>
      <x:c r="U30" s="52" t="n">
        <x:f>O30*'Curve'!Q31</x:f>
        <x:v>7945044.229969391</x:v>
      </x:c>
      <x:c r="V30" s="52" t="n">
        <x:f>O30*'Curve'!R31</x:f>
        <x:v>7945044.229969391</x:v>
      </x:c>
      <x:c r="W30" s="52" t="n">
        <x:f>L30*'Curve'!J31</x:f>
        <x:v>635603.5383975513</x:v>
      </x:c>
    </x:row>
    <x:row r="31" ht="20" customHeight="1">
      <x:c r="A31" s="2"/>
      <x:c r="B31" s="2"/>
      <x:c r="C31" s="2" t="n">
        <x:v>26</x:v>
      </x:c>
      <x:c r="D31" s="46" t="n">
        <x:f>IF(C31+'Sources'!$I$49-1&gt;='Controls'!$F$7,1,INDEX('Sources'!$D$15:$D$134,C31+'Sources'!$I$49))</x:f>
        <x:v>0.09268</x:v>
      </x:c>
      <x:c r="E31" s="46" t="n">
        <x:f>IF(C31+'Sources'!$I$50-1&gt;='Controls'!$F$7,1,INDEX('Sources'!$E$15:$E$134,C31+'Sources'!$I$50))</x:f>
        <x:v>0.129176</x:v>
      </x:c>
      <x:c r="F31" s="46" t="n">
        <x:f>IF(C31+'Sources'!$I$51-1&gt;='Controls'!$F$7,1,INDEX('Sources'!$D$15:$D$134,C31+'Sources'!$I$51))</x:f>
        <x:v>0.262268</x:v>
      </x:c>
      <x:c r="G31" s="46" t="n">
        <x:f>IF(C31+'Sources'!$I$52-1&gt;='Controls'!$F$7,1,INDEX('Sources'!$E$15:$E$134,C31+'Sources'!$I$52))</x:f>
        <x:v>0.32968</x:v>
      </x:c>
      <x:c r="H31" s="20" t="n">
        <x:f>H30*(1-D31)^'Controls'!$F$6</x:f>
        <x:v>0.3812939203953767</x:v>
      </x:c>
      <x:c r="I31" s="20" t="n">
        <x:f>I30*(1-E31)^'Controls'!$F$6</x:f>
        <x:v>0.3039371253333897</x:v>
      </x:c>
      <x:c r="J31" s="20" t="n">
        <x:f>J30*(1-F31)^'Controls'!$F$6</x:f>
        <x:v>0.06497066352402114</x:v>
      </x:c>
      <x:c r="K31" s="20" t="n">
        <x:f>K30*(1-G31)^'Controls'!$F$6</x:f>
        <x:v>0.02457039999818529</x:v>
      </x:c>
      <x:c r="L31" s="52" t="n">
        <x:f>'Controls'!$F$5*(H31*'Sources'!$J$49+I31*'Sources'!$J$50+J31*'Sources'!$J$51+K31*'Sources'!$J$52)</x:f>
        <x:v>2324316.3277529185</x:v>
      </x:c>
      <x:c r="M31" s="53" t="n">
        <x:f>'Curve'!M32</x:f>
        <x:v>0.2243734132228592</x:v>
      </x:c>
      <x:c r="N31" s="21" t="n">
        <x:f>L31*M31</x:f>
        <x:v>521514.7878675442</x:v>
      </x:c>
      <x:c r="O31" s="21" t="n">
        <x:f>C31*N31</x:f>
        <x:v>13559384.48455615</x:v>
      </x:c>
      <x:c r="P31" s="21" t="n">
        <x:f>C31*O31</x:f>
        <x:v>352543996.5984599</x:v>
      </x:c>
      <x:c r="Q31" s="21" t="n">
        <x:f>IF(C31&gt;30,N31,0)</x:f>
        <x:v>0</x:v>
      </x:c>
      <x:c r="R31" s="52" t="n">
        <x:f>O31*'Curve'!N32</x:f>
        <x:v>0</x:v>
      </x:c>
      <x:c r="S31" s="52" t="n">
        <x:f>O31*'Curve'!O32</x:f>
        <x:v>0</x:v>
      </x:c>
      <x:c r="T31" s="52" t="n">
        <x:f>O31*'Curve'!P32</x:f>
        <x:v>0</x:v>
      </x:c>
      <x:c r="U31" s="52" t="n">
        <x:f>O31*'Curve'!Q32</x:f>
        <x:v>5423753.79382246</x:v>
      </x:c>
      <x:c r="V31" s="52" t="n">
        <x:f>O31*'Curve'!R32</x:f>
        <x:v>8135630.69073369</x:v>
      </x:c>
      <x:c r="W31" s="52" t="n">
        <x:f>L31*'Curve'!J32</x:f>
        <x:v>521514.7878675442</x:v>
      </x:c>
    </x:row>
    <x:row r="32" ht="20" customHeight="1">
      <x:c r="A32" s="2"/>
      <x:c r="B32" s="2"/>
      <x:c r="C32" s="2" t="n">
        <x:v>27</x:v>
      </x:c>
      <x:c r="D32" s="46" t="n">
        <x:f>IF(C32+'Sources'!$I$49-1&gt;='Controls'!$F$7,1,INDEX('Sources'!$D$15:$D$134,C32+'Sources'!$I$49))</x:f>
        <x:v>0.103459</x:v>
      </x:c>
      <x:c r="E32" s="46" t="n">
        <x:f>IF(C32+'Sources'!$I$50-1&gt;='Controls'!$F$7,1,INDEX('Sources'!$E$15:$E$134,C32+'Sources'!$I$50))</x:f>
        <x:v>0.144229</x:v>
      </x:c>
      <x:c r="F32" s="46" t="n">
        <x:f>IF(C32+'Sources'!$I$51-1&gt;='Controls'!$F$7,1,INDEX('Sources'!$D$15:$D$134,C32+'Sources'!$I$51))</x:f>
        <x:v>0.286291</x:v>
      </x:c>
      <x:c r="G32" s="46" t="n">
        <x:f>IF(C32+'Sources'!$I$52-1&gt;='Controls'!$F$7,1,INDEX('Sources'!$E$15:$E$134,C32+'Sources'!$I$52))</x:f>
        <x:v>0.353333</x:v>
      </x:c>
      <x:c r="H32" s="20" t="n">
        <x:f>H31*(1-D32)^'Controls'!$F$6</x:f>
        <x:v>0.3418456326851914</x:v>
      </x:c>
      <x:c r="I32" s="20" t="n">
        <x:f>I31*(1-E32)^'Controls'!$F$6</x:f>
        <x:v>0.2601005776836802</x:v>
      </x:c>
      <x:c r="J32" s="20" t="n">
        <x:f>J31*(1-F32)^'Controls'!$F$6</x:f>
        <x:v>0.0463701472930656</x:v>
      </x:c>
      <x:c r="K32" s="20" t="n">
        <x:f>K31*(1-G32)^'Controls'!$F$6</x:f>
        <x:v>0.015888866855626488</x:v>
      </x:c>
      <x:c r="L32" s="52" t="n">
        <x:f>'Controls'!$F$5*(H32*'Sources'!$J$49+I32*'Sources'!$J$50+J32*'Sources'!$J$51+K32*'Sources'!$J$52)</x:f>
        <x:v>1992615.673552691</x:v>
      </x:c>
      <x:c r="M32" s="53" t="n">
        <x:f>'Curve'!M33</x:f>
        <x:v>0.21271629283019666</x:v>
      </x:c>
      <x:c r="N32" s="21" t="n">
        <x:f>L32*M32</x:f>
        <x:v>423861.81911347376</x:v>
      </x:c>
      <x:c r="O32" s="21" t="n">
        <x:f>C32*N32</x:f>
        <x:v>11444269.116063792</x:v>
      </x:c>
      <x:c r="P32" s="21" t="n">
        <x:f>C32*O32</x:f>
        <x:v>308995266.13372236</x:v>
      </x:c>
      <x:c r="Q32" s="21" t="n">
        <x:f>IF(C32&gt;30,N32,0)</x:f>
        <x:v>0</x:v>
      </x:c>
      <x:c r="R32" s="52" t="n">
        <x:f>O32*'Curve'!N33</x:f>
        <x:v>0</x:v>
      </x:c>
      <x:c r="S32" s="52" t="n">
        <x:f>O32*'Curve'!O33</x:f>
        <x:v>0</x:v>
      </x:c>
      <x:c r="T32" s="52" t="n">
        <x:f>O32*'Curve'!P33</x:f>
        <x:v>0</x:v>
      </x:c>
      <x:c r="U32" s="52" t="n">
        <x:f>O32*'Curve'!Q33</x:f>
        <x:v>3433280.7348191375</x:v>
      </x:c>
      <x:c r="V32" s="52" t="n">
        <x:f>O32*'Curve'!R33</x:f>
        <x:v>8010988.381244654</x:v>
      </x:c>
      <x:c r="W32" s="52" t="n">
        <x:f>L32*'Curve'!J33</x:f>
        <x:v>423861.81911347376</x:v>
      </x:c>
    </x:row>
    <x:row r="33" ht="20" customHeight="1">
      <x:c r="A33" s="2"/>
      <x:c r="B33" s="2"/>
      <x:c r="C33" s="2" t="n">
        <x:v>28</x:v>
      </x:c>
      <x:c r="D33" s="46" t="n">
        <x:f>IF(C33+'Sources'!$I$49-1&gt;='Controls'!$F$7,1,INDEX('Sources'!$D$15:$D$134,C33+'Sources'!$I$49))</x:f>
        <x:v>0.115502</x:v>
      </x:c>
      <x:c r="E33" s="46" t="n">
        <x:f>IF(C33+'Sources'!$I$50-1&gt;='Controls'!$F$7,1,INDEX('Sources'!$E$15:$E$134,C33+'Sources'!$I$50))</x:f>
        <x:v>0.160353</x:v>
      </x:c>
      <x:c r="F33" s="46" t="n">
        <x:f>IF(C33+'Sources'!$I$51-1&gt;='Controls'!$F$7,1,INDEX('Sources'!$D$15:$D$134,C33+'Sources'!$I$51))</x:f>
        <x:v>0.310944</x:v>
      </x:c>
      <x:c r="G33" s="46" t="n">
        <x:f>IF(C33+'Sources'!$I$52-1&gt;='Controls'!$F$7,1,INDEX('Sources'!$E$15:$E$134,C33+'Sources'!$I$52))</x:f>
        <x:v>0.3773</x:v>
      </x:c>
      <x:c r="H33" s="20" t="n">
        <x:f>H32*(1-D33)^'Controls'!$F$6</x:f>
        <x:v>0.3023617784187864</x:v>
      </x:c>
      <x:c r="I33" s="20" t="n">
        <x:f>I32*(1-E33)^'Controls'!$F$6</x:f>
        <x:v>0.21839266975036906</x:v>
      </x:c>
      <x:c r="J33" s="20" t="n">
        <x:f>J32*(1-F33)^'Controls'!$F$6</x:f>
        <x:v>0.03195162821317061</x:v>
      </x:c>
      <x:c r="K33" s="20" t="n">
        <x:f>K32*(1-G33)^'Controls'!$F$6</x:f>
        <x:v>0.009893997390998615</x:v>
      </x:c>
      <x:c r="L33" s="52" t="n">
        <x:f>'Controls'!$F$5*(H33*'Sources'!$J$49+I33*'Sources'!$J$50+J33*'Sources'!$J$51+K33*'Sources'!$J$52)</x:f>
        <x:v>1687800.221319974</x:v>
      </x:c>
      <x:c r="M33" s="53" t="n">
        <x:f>'Curve'!M34</x:f>
        <x:v>0.20194784210618083</x:v>
      </x:c>
      <x:c r="N33" s="21" t="n">
        <x:f>L33*M33</x:f>
        <x:v>340847.61260190315</x:v>
      </x:c>
      <x:c r="O33" s="21" t="n">
        <x:f>C33*N33</x:f>
        <x:v>9543733.152853288</x:v>
      </x:c>
      <x:c r="P33" s="21" t="n">
        <x:f>C33*O33</x:f>
        <x:v>267224528.27989206</x:v>
      </x:c>
      <x:c r="Q33" s="21" t="n">
        <x:f>IF(C33&gt;30,N33,0)</x:f>
        <x:v>0</x:v>
      </x:c>
      <x:c r="R33" s="52" t="n">
        <x:f>O33*'Curve'!N34</x:f>
        <x:v>0</x:v>
      </x:c>
      <x:c r="S33" s="52" t="n">
        <x:f>O33*'Curve'!O34</x:f>
        <x:v>0</x:v>
      </x:c>
      <x:c r="T33" s="52" t="n">
        <x:f>O33*'Curve'!P34</x:f>
        <x:v>0</x:v>
      </x:c>
      <x:c r="U33" s="52" t="n">
        <x:f>O33*'Curve'!Q34</x:f>
        <x:v>1908746.6305706576</x:v>
      </x:c>
      <x:c r="V33" s="52" t="n">
        <x:f>O33*'Curve'!R34</x:f>
        <x:v>7634986.52228263</x:v>
      </x:c>
      <x:c r="W33" s="52" t="n">
        <x:f>L33*'Curve'!J34</x:f>
        <x:v>340847.61260190315</x:v>
      </x:c>
    </x:row>
    <x:row r="34" ht="20" customHeight="1">
      <x:c r="A34" s="2"/>
      <x:c r="B34" s="2"/>
      <x:c r="C34" s="2" t="n">
        <x:v>29</x:v>
      </x:c>
      <x:c r="D34" s="46" t="n">
        <x:f>IF(C34+'Sources'!$I$49-1&gt;='Controls'!$F$7,1,INDEX('Sources'!$D$15:$D$134,C34+'Sources'!$I$49))</x:f>
        <x:v>0.129018</x:v>
      </x:c>
      <x:c r="E34" s="46" t="n">
        <x:f>IF(C34+'Sources'!$I$50-1&gt;='Controls'!$F$7,1,INDEX('Sources'!$E$15:$E$134,C34+'Sources'!$I$50))</x:f>
        <x:v>0.177635</x:v>
      </x:c>
      <x:c r="F34" s="46" t="n">
        <x:f>IF(C34+'Sources'!$I$51-1&gt;='Controls'!$F$7,1,INDEX('Sources'!$D$15:$D$134,C34+'Sources'!$I$51))</x:f>
        <x:v>0.332325</x:v>
      </x:c>
      <x:c r="G34" s="46" t="n">
        <x:f>IF(C34+'Sources'!$I$52-1&gt;='Controls'!$F$7,1,INDEX('Sources'!$E$15:$E$134,C34+'Sources'!$I$52))</x:f>
        <x:v>0.401416</x:v>
      </x:c>
      <x:c r="H34" s="20" t="n">
        <x:f>H33*(1-D34)^'Controls'!$F$6</x:f>
        <x:v>0.2633516664907514</x:v>
      </x:c>
      <x:c r="I34" s="20" t="n">
        <x:f>I33*(1-E34)^'Controls'!$F$6</x:f>
        <x:v>0.17959848785926225</x:v>
      </x:c>
      <x:c r="J34" s="20" t="n">
        <x:f>J33*(1-F34)^'Controls'!$F$6</x:f>
        <x:v>0.021333303367228686</x:v>
      </x:c>
      <x:c r="K34" s="20" t="n">
        <x:f>K33*(1-G34)^'Controls'!$F$6</x:f>
        <x:v>0.0059223885342935155</x:v>
      </x:c>
      <x:c r="L34" s="52" t="n">
        <x:f>'Controls'!$F$5*(H34*'Sources'!$J$49+I34*'Sources'!$J$50+J34*'Sources'!$J$51+K34*'Sources'!$J$52)</x:f>
        <x:v>1410617.5387546076</x:v>
      </x:c>
      <x:c r="M34" s="53" t="n">
        <x:f>'Curve'!M35</x:f>
        <x:v>0.19199936648331084</x:v>
      </x:c>
      <x:c r="N34" s="21" t="n">
        <x:f>L34*M34</x:f>
        <x:v>270837.6737911318</x:v>
      </x:c>
      <x:c r="O34" s="21" t="n">
        <x:f>C34*N34</x:f>
        <x:v>7854292.539942822</x:v>
      </x:c>
      <x:c r="P34" s="21" t="n">
        <x:f>C34*O34</x:f>
        <x:v>227774483.65834185</x:v>
      </x:c>
      <x:c r="Q34" s="21" t="n">
        <x:f>IF(C34&gt;30,N34,0)</x:f>
        <x:v>0</x:v>
      </x:c>
      <x:c r="R34" s="52" t="n">
        <x:f>O34*'Curve'!N35</x:f>
        <x:v>0</x:v>
      </x:c>
      <x:c r="S34" s="52" t="n">
        <x:f>O34*'Curve'!O35</x:f>
        <x:v>0</x:v>
      </x:c>
      <x:c r="T34" s="52" t="n">
        <x:f>O34*'Curve'!P35</x:f>
        <x:v>0</x:v>
      </x:c>
      <x:c r="U34" s="52" t="n">
        <x:f>O34*'Curve'!Q35</x:f>
        <x:v>785429.2539942823</x:v>
      </x:c>
      <x:c r="V34" s="52" t="n">
        <x:f>O34*'Curve'!R35</x:f>
        <x:v>7068863.28594854</x:v>
      </x:c>
      <x:c r="W34" s="52" t="n">
        <x:f>L34*'Curve'!J35</x:f>
        <x:v>270837.6737911318</x:v>
      </x:c>
    </x:row>
    <x:row r="35" ht="20" customHeight="1">
      <x:c r="A35" s="2"/>
      <x:c r="B35" s="2"/>
      <x:c r="C35" s="2" t="n">
        <x:v>30</x:v>
      </x:c>
      <x:c r="D35" s="46" t="n">
        <x:f>IF(C35+'Sources'!$I$49-1&gt;='Controls'!$F$7,1,INDEX('Sources'!$D$15:$D$134,C35+'Sources'!$I$49))</x:f>
        <x:v>0.14381</x:v>
      </x:c>
      <x:c r="E35" s="46" t="n">
        <x:f>IF(C35+'Sources'!$I$50-1&gt;='Controls'!$F$7,1,INDEX('Sources'!$E$15:$E$134,C35+'Sources'!$I$50))</x:f>
        <x:v>0.196502</x:v>
      </x:c>
      <x:c r="F35" s="46" t="n">
        <x:f>IF(C35+'Sources'!$I$51-1&gt;='Controls'!$F$7,1,INDEX('Sources'!$D$15:$D$134,C35+'Sources'!$I$51))</x:f>
        <x:v>0.349036</x:v>
      </x:c>
      <x:c r="G35" s="46" t="n">
        <x:f>IF(C35+'Sources'!$I$52-1&gt;='Controls'!$F$7,1,INDEX('Sources'!$E$15:$E$134,C35+'Sources'!$I$52))</x:f>
        <x:v>0.425501</x:v>
      </x:c>
      <x:c r="H35" s="20" t="n">
        <x:f>H34*(1-D35)^'Controls'!$F$6</x:f>
        <x:v>0.22547906333271647</x:v>
      </x:c>
      <x:c r="I35" s="20" t="n">
        <x:f>I34*(1-E35)^'Controls'!$F$6</x:f>
        <x:v>0.1443070257979415</x:v>
      </x:c>
      <x:c r="J35" s="20" t="n">
        <x:f>J34*(1-F35)^'Controls'!$F$6</x:f>
        <x:v>0.013887212493144655</x:v>
      </x:c>
      <x:c r="K35" s="20" t="n">
        <x:f>K34*(1-G35)^'Controls'!$F$6</x:f>
        <x:v>0.0034024062905630903</x:v>
      </x:c>
      <x:c r="L35" s="52" t="n">
        <x:f>'Controls'!$F$5*(H35*'Sources'!$J$49+I35*'Sources'!$J$50+J35*'Sources'!$J$51+K35*'Sources'!$J$52)</x:f>
        <x:v>1161227.123743097</x:v>
      </x:c>
      <x:c r="M35" s="53" t="n">
        <x:f>'Curve'!M36</x:f>
        <x:v>0.18280648336911193</x:v>
      </x:c>
      <x:c r="N35" s="21" t="n">
        <x:f>L35*M35</x:f>
        <x:v>212279.84688430416</x:v>
      </x:c>
      <x:c r="O35" s="21" t="n">
        <x:f>C35*N35</x:f>
        <x:v>6368395.406529125</x:v>
      </x:c>
      <x:c r="P35" s="21" t="n">
        <x:f>C35*O35</x:f>
        <x:v>191051862.19587374</x:v>
      </x:c>
      <x:c r="Q35" s="21" t="n">
        <x:f>IF(C35&gt;30,N35,0)</x:f>
        <x:v>0</x:v>
      </x:c>
      <x:c r="R35" s="52" t="n">
        <x:f>O35*'Curve'!N36</x:f>
        <x:v>0</x:v>
      </x:c>
      <x:c r="S35" s="52" t="n">
        <x:f>O35*'Curve'!O36</x:f>
        <x:v>0</x:v>
      </x:c>
      <x:c r="T35" s="52" t="n">
        <x:f>O35*'Curve'!P36</x:f>
        <x:v>0</x:v>
      </x:c>
      <x:c r="U35" s="52" t="n">
        <x:f>O35*'Curve'!Q36</x:f>
        <x:v>0</x:v>
      </x:c>
      <x:c r="V35" s="52" t="n">
        <x:f>O35*'Curve'!R36</x:f>
        <x:v>6368395.406529125</x:v>
      </x:c>
      <x:c r="W35" s="52" t="n">
        <x:f>L35*'Curve'!J36</x:f>
        <x:v>212279.84688430416</x:v>
      </x:c>
    </x:row>
    <x:row r="36" ht="20" customHeight="1">
      <x:c r="A36" s="2"/>
      <x:c r="B36" s="2"/>
      <x:c r="C36" s="2" t="n">
        <x:v>31</x:v>
      </x:c>
      <x:c r="D36" s="46" t="n">
        <x:f>IF(C36+'Sources'!$I$49-1&gt;='Controls'!$F$7,1,INDEX('Sources'!$D$15:$D$134,C36+'Sources'!$I$49))</x:f>
        <x:v>0.159458</x:v>
      </x:c>
      <x:c r="E36" s="46" t="n">
        <x:f>IF(C36+'Sources'!$I$50-1&gt;='Controls'!$F$7,1,INDEX('Sources'!$E$15:$E$134,C36+'Sources'!$I$50))</x:f>
        <x:v>0.216846</x:v>
      </x:c>
      <x:c r="F36" s="46" t="n">
        <x:f>IF(C36+'Sources'!$I$51-1&gt;='Controls'!$F$7,1,INDEX('Sources'!$D$15:$D$134,C36+'Sources'!$I$51))</x:f>
        <x:v>0.366568</x:v>
      </x:c>
      <x:c r="G36" s="46" t="n">
        <x:f>IF(C36+'Sources'!$I$52-1&gt;='Controls'!$F$7,1,INDEX('Sources'!$E$15:$E$134,C36+'Sources'!$I$52))</x:f>
        <x:v>0.451031</x:v>
      </x:c>
      <x:c r="H36" s="20" t="n">
        <x:f>H35*(1-D36)^'Controls'!$F$6</x:f>
        <x:v>0.18952462285180818</x:v>
      </x:c>
      <x:c r="I36" s="20" t="n">
        <x:f>I35*(1-E36)^'Controls'!$F$6</x:f>
        <x:v>0.11301462448176108</x:v>
      </x:c>
      <x:c r="J36" s="20" t="n">
        <x:f>J35*(1-F36)^'Controls'!$F$6</x:f>
        <x:v>0.008796604783957605</x:v>
      </x:c>
      <x:c r="K36" s="20" t="n">
        <x:f>K35*(1-G36)^'Controls'!$F$6</x:f>
        <x:v>0.0018678155789241292</x:v>
      </x:c>
      <x:c r="L36" s="52" t="n">
        <x:f>'Controls'!$F$5*(H36*'Sources'!$J$49+I36*'Sources'!$J$50+J36*'Sources'!$J$51+K36*'Sources'!$J$52)</x:f>
        <x:v>939611.0030893531</x:v>
      </x:c>
      <x:c r="M36" s="53" t="n">
        <x:f>'Curve'!M37</x:f>
        <x:v>0.17430916780384523</x:v>
      </x:c>
      <x:c r="N36" s="21" t="n">
        <x:f>L36*M36</x:f>
        <x:v>163782.8120078414</x:v>
      </x:c>
      <x:c r="O36" s="21" t="n">
        <x:f>C36*N36</x:f>
        <x:v>5077267.172243083</x:v>
      </x:c>
      <x:c r="P36" s="21" t="n">
        <x:f>C36*O36</x:f>
        <x:v>157395282.33953556</x:v>
      </x:c>
      <x:c r="Q36" s="21" t="n">
        <x:f>IF(C36&gt;30,N36,0)</x:f>
        <x:v>163782.8120078414</x:v>
      </x:c>
      <x:c r="R36" s="52" t="n">
        <x:f>O36*'Curve'!N37</x:f>
        <x:v>0</x:v>
      </x:c>
      <x:c r="S36" s="52" t="n">
        <x:f>O36*'Curve'!O37</x:f>
        <x:v>0</x:v>
      </x:c>
      <x:c r="T36" s="52" t="n">
        <x:f>O36*'Curve'!P37</x:f>
        <x:v>0</x:v>
      </x:c>
      <x:c r="U36" s="52" t="n">
        <x:f>O36*'Curve'!Q37</x:f>
        <x:v>0</x:v>
      </x:c>
      <x:c r="V36" s="52" t="n">
        <x:f>O36*'Curve'!R37</x:f>
        <x:v>5077267.172243083</x:v>
      </x:c>
      <x:c r="W36" s="52" t="n">
        <x:f>L36*'Curve'!J37</x:f>
        <x:v>163782.8120078414</x:v>
      </x:c>
    </x:row>
    <x:row r="37" ht="20" customHeight="1">
      <x:c r="A37" s="2"/>
      <x:c r="B37" s="2"/>
      <x:c r="C37" s="2" t="n">
        <x:v>32</x:v>
      </x:c>
      <x:c r="D37" s="46" t="n">
        <x:f>IF(C37+'Sources'!$I$49-1&gt;='Controls'!$F$7,1,INDEX('Sources'!$D$15:$D$134,C37+'Sources'!$I$49))</x:f>
        <x:v>0.176551</x:v>
      </x:c>
      <x:c r="E37" s="46" t="n">
        <x:f>IF(C37+'Sources'!$I$50-1&gt;='Controls'!$F$7,1,INDEX('Sources'!$E$15:$E$134,C37+'Sources'!$I$50))</x:f>
        <x:v>0.23875</x:v>
      </x:c>
      <x:c r="F37" s="46" t="n">
        <x:f>IF(C37+'Sources'!$I$51-1&gt;='Controls'!$F$7,1,INDEX('Sources'!$D$15:$D$134,C37+'Sources'!$I$51))</x:f>
        <x:v>0.38496</x:v>
      </x:c>
      <x:c r="G37" s="46" t="n">
        <x:f>IF(C37+'Sources'!$I$52-1&gt;='Controls'!$F$7,1,INDEX('Sources'!$E$15:$E$134,C37+'Sources'!$I$52))</x:f>
        <x:v>0.478092</x:v>
      </x:c>
      <x:c r="H37" s="20" t="n">
        <x:f>H36*(1-D37)^'Controls'!$F$6</x:f>
        <x:v>0.1560638611626986</x:v>
      </x:c>
      <x:c r="I37" s="20" t="n">
        <x:f>I36*(1-E37)^'Controls'!$F$6</x:f>
        <x:v>0.08603238288674062</x:v>
      </x:c>
      <x:c r="J37" s="20" t="n">
        <x:f>J36*(1-F37)^'Controls'!$F$6</x:f>
        <x:v>0.005410263806325285</x:v>
      </x:c>
      <x:c r="K37" s="20" t="n">
        <x:f>K36*(1-G37)^'Controls'!$F$6</x:f>
        <x:v>0.0009748278931651345</x:v>
      </x:c>
      <x:c r="L37" s="52" t="n">
        <x:f>'Controls'!$F$5*(H37*'Sources'!$J$49+I37*'Sources'!$J$50+J37*'Sources'!$J$51+K37*'Sources'!$J$52)</x:f>
        <x:v>745444.0072467889</x:v>
      </x:c>
      <x:c r="M37" s="53" t="n">
        <x:f>'Curve'!M38</x:f>
        <x:v>0.16645169654578776</x:v>
      </x:c>
      <x:c r="N37" s="21" t="n">
        <x:f>L37*M37</x:f>
        <x:v>124080.41968611852</x:v>
      </x:c>
      <x:c r="O37" s="21" t="n">
        <x:f>C37*N37</x:f>
        <x:v>3970573.4299557926</x:v>
      </x:c>
      <x:c r="P37" s="21" t="n">
        <x:f>C37*O37</x:f>
        <x:v>127058349.75858536</x:v>
      </x:c>
      <x:c r="Q37" s="21" t="n">
        <x:f>IF(C37&gt;30,N37,0)</x:f>
        <x:v>124080.41968611852</x:v>
      </x:c>
      <x:c r="R37" s="52" t="n">
        <x:f>O37*'Curve'!N38</x:f>
        <x:v>0</x:v>
      </x:c>
      <x:c r="S37" s="52" t="n">
        <x:f>O37*'Curve'!O38</x:f>
        <x:v>0</x:v>
      </x:c>
      <x:c r="T37" s="52" t="n">
        <x:f>O37*'Curve'!P38</x:f>
        <x:v>0</x:v>
      </x:c>
      <x:c r="U37" s="52" t="n">
        <x:f>O37*'Curve'!Q38</x:f>
        <x:v>0</x:v>
      </x:c>
      <x:c r="V37" s="52" t="n">
        <x:f>O37*'Curve'!R38</x:f>
        <x:v>3970573.4299557926</x:v>
      </x:c>
      <x:c r="W37" s="52" t="n">
        <x:f>L37*'Curve'!J38</x:f>
        <x:v>124080.41968611852</x:v>
      </x:c>
    </x:row>
    <x:row r="38" ht="20" customHeight="1">
      <x:c r="A38" s="2"/>
      <x:c r="B38" s="2"/>
      <x:c r="C38" s="2" t="n">
        <x:v>33</x:v>
      </x:c>
      <x:c r="D38" s="46" t="n">
        <x:f>IF(C38+'Sources'!$I$49-1&gt;='Controls'!$F$7,1,INDEX('Sources'!$D$15:$D$134,C38+'Sources'!$I$49))</x:f>
        <x:v>0.19536</x:v>
      </x:c>
      <x:c r="E38" s="46" t="n">
        <x:f>IF(C38+'Sources'!$I$50-1&gt;='Controls'!$F$7,1,INDEX('Sources'!$E$15:$E$134,C38+'Sources'!$I$50))</x:f>
        <x:v>0.261359</x:v>
      </x:c>
      <x:c r="F38" s="46" t="n">
        <x:f>IF(C38+'Sources'!$I$51-1&gt;='Controls'!$F$7,1,INDEX('Sources'!$D$15:$D$134,C38+'Sources'!$I$51))</x:f>
        <x:v>0.404252</x:v>
      </x:c>
      <x:c r="G38" s="46" t="n">
        <x:f>IF(C38+'Sources'!$I$52-1&gt;='Controls'!$F$7,1,INDEX('Sources'!$E$15:$E$134,C38+'Sources'!$I$52))</x:f>
        <x:v>0.506778</x:v>
      </x:c>
      <x:c r="H38" s="20" t="n">
        <x:f>H37*(1-D38)^'Controls'!$F$6</x:f>
        <x:v>0.1255752252459538</x:v>
      </x:c>
      <x:c r="I38" s="20" t="n">
        <x:f>I37*(1-E38)^'Controls'!$F$6</x:f>
        <x:v>0.06354704532784497</x:v>
      </x:c>
      <x:c r="J38" s="20" t="n">
        <x:f>J37*(1-F38)^'Controls'!$F$6</x:f>
        <x:v>0.0032231538420906757</x:v>
      </x:c>
      <x:c r="K38" s="20" t="n">
        <x:f>K37*(1-G38)^'Controls'!$F$6</x:f>
        <x:v>0.000480806563122694</x:v>
      </x:c>
      <x:c r="L38" s="52" t="n">
        <x:f>'Controls'!$F$5*(H38*'Sources'!$J$49+I38*'Sources'!$J$50+J38*'Sources'!$J$51+K38*'Sources'!$J$52)</x:f>
        <x:v>578478.6929370364</x:v>
      </x:c>
      <x:c r="M38" s="53" t="n">
        <x:f>'Curve'!M39</x:f>
        <x:v>0.15918251978280729</x:v>
      </x:c>
      <x:c r="N38" s="21" t="n">
        <x:f>L38*M38</x:f>
        <x:v>92083.6959823823</x:v>
      </x:c>
      <x:c r="O38" s="21" t="n">
        <x:f>C38*N38</x:f>
        <x:v>3038761.9674186157</x:v>
      </x:c>
      <x:c r="P38" s="21" t="n">
        <x:f>C38*O38</x:f>
        <x:v>100279144.92481431</x:v>
      </x:c>
      <x:c r="Q38" s="21" t="n">
        <x:f>IF(C38&gt;30,N38,0)</x:f>
        <x:v>92083.6959823823</x:v>
      </x:c>
      <x:c r="R38" s="52" t="n">
        <x:f>O38*'Curve'!N39</x:f>
        <x:v>0</x:v>
      </x:c>
      <x:c r="S38" s="52" t="n">
        <x:f>O38*'Curve'!O39</x:f>
        <x:v>0</x:v>
      </x:c>
      <x:c r="T38" s="52" t="n">
        <x:f>O38*'Curve'!P39</x:f>
        <x:v>0</x:v>
      </x:c>
      <x:c r="U38" s="52" t="n">
        <x:f>O38*'Curve'!Q39</x:f>
        <x:v>0</x:v>
      </x:c>
      <x:c r="V38" s="52" t="n">
        <x:f>O38*'Curve'!R39</x:f>
        <x:v>3038761.9674186157</x:v>
      </x:c>
      <x:c r="W38" s="52" t="n">
        <x:f>L38*'Curve'!J39</x:f>
        <x:v>92083.6959823823</x:v>
      </x:c>
    </x:row>
    <x:row r="39" ht="20" customHeight="1">
      <x:c r="A39" s="2"/>
      <x:c r="B39" s="2"/>
      <x:c r="C39" s="2" t="n">
        <x:v>34</x:v>
      </x:c>
      <x:c r="D39" s="46" t="n">
        <x:f>IF(C39+'Sources'!$I$49-1&gt;='Controls'!$F$7,1,INDEX('Sources'!$D$15:$D$134,C39+'Sources'!$I$49))</x:f>
        <x:v>0.216286</x:v>
      </x:c>
      <x:c r="E39" s="46" t="n">
        <x:f>IF(C39+'Sources'!$I$50-1&gt;='Controls'!$F$7,1,INDEX('Sources'!$E$15:$E$134,C39+'Sources'!$I$50))</x:f>
        <x:v>0.283899</x:v>
      </x:c>
      <x:c r="F39" s="46" t="n">
        <x:f>IF(C39+'Sources'!$I$51-1&gt;='Controls'!$F$7,1,INDEX('Sources'!$D$15:$D$134,C39+'Sources'!$I$51))</x:f>
        <x:v>0.424488</x:v>
      </x:c>
      <x:c r="G39" s="46" t="n">
        <x:f>IF(C39+'Sources'!$I$52-1&gt;='Controls'!$F$7,1,INDEX('Sources'!$E$15:$E$134,C39+'Sources'!$I$52))</x:f>
        <x:v>0.537185</x:v>
      </x:c>
      <x:c r="H39" s="20" t="n">
        <x:f>H38*(1-D39)^'Controls'!$F$6</x:f>
        <x:v>0.09841506207840743</x:v>
      </x:c>
      <x:c r="I39" s="20" t="n">
        <x:f>I38*(1-E39)^'Controls'!$F$6</x:f>
        <x:v>0.04550610270631511</x:v>
      </x:c>
      <x:c r="J39" s="20" t="n">
        <x:f>J38*(1-F39)^'Controls'!$F$6</x:f>
        <x:v>0.0018549637139692891</x:v>
      </x:c>
      <x:c r="K39" s="20" t="n">
        <x:f>K38*(1-G39)^'Controls'!$F$6</x:f>
        <x:v>0.00022252448951162962</x:v>
      </x:c>
      <x:c r="L39" s="52" t="n">
        <x:f>'Controls'!$F$5*(H39*'Sources'!$J$49+I39*'Sources'!$J$50+J39*'Sources'!$J$51+K39*'Sources'!$J$52)</x:f>
        <x:v>437995.9589646104</x:v>
      </x:c>
      <x:c r="M39" s="53" t="n">
        <x:f>'Curve'!M40</x:f>
        <x:v>0.1524540833596186</x:v>
      </x:c>
      <x:c r="N39" s="21" t="n">
        <x:f>L39*M39</x:f>
        <x:v>66774.2724391668</x:v>
      </x:c>
      <x:c r="O39" s="21" t="n">
        <x:f>C39*N39</x:f>
        <x:v>2270325.2629316715</x:v>
      </x:c>
      <x:c r="P39" s="21" t="n">
        <x:f>C39*O39</x:f>
        <x:v>77191058.93967684</x:v>
      </x:c>
      <x:c r="Q39" s="21" t="n">
        <x:f>IF(C39&gt;30,N39,0)</x:f>
        <x:v>66774.2724391668</x:v>
      </x:c>
      <x:c r="R39" s="52" t="n">
        <x:f>O39*'Curve'!N40</x:f>
        <x:v>0</x:v>
      </x:c>
      <x:c r="S39" s="52" t="n">
        <x:f>O39*'Curve'!O40</x:f>
        <x:v>0</x:v>
      </x:c>
      <x:c r="T39" s="52" t="n">
        <x:f>O39*'Curve'!P40</x:f>
        <x:v>0</x:v>
      </x:c>
      <x:c r="U39" s="52" t="n">
        <x:f>O39*'Curve'!Q40</x:f>
        <x:v>0</x:v>
      </x:c>
      <x:c r="V39" s="52" t="n">
        <x:f>O39*'Curve'!R40</x:f>
        <x:v>2270325.2629316715</x:v>
      </x:c>
      <x:c r="W39" s="52" t="n">
        <x:f>L39*'Curve'!J40</x:f>
        <x:v>66774.2724391668</x:v>
      </x:c>
    </x:row>
    <x:row r="40" ht="20" customHeight="1">
      <x:c r="A40" s="2"/>
      <x:c r="B40" s="2"/>
      <x:c r="C40" s="2" t="n">
        <x:v>35</x:v>
      </x:c>
      <x:c r="D40" s="46" t="n">
        <x:f>IF(C40+'Sources'!$I$49-1&gt;='Controls'!$F$7,1,INDEX('Sources'!$D$15:$D$134,C40+'Sources'!$I$49))</x:f>
        <x:v>0.238799</x:v>
      </x:c>
      <x:c r="E40" s="46" t="n">
        <x:f>IF(C40+'Sources'!$I$50-1&gt;='Controls'!$F$7,1,INDEX('Sources'!$E$15:$E$134,C40+'Sources'!$I$50))</x:f>
        <x:v>0.306491</x:v>
      </x:c>
      <x:c r="F40" s="46" t="n">
        <x:f>IF(C40+'Sources'!$I$51-1&gt;='Controls'!$F$7,1,INDEX('Sources'!$D$15:$D$134,C40+'Sources'!$I$51))</x:f>
        <x:v>0.445712</x:v>
      </x:c>
      <x:c r="G40" s="46" t="n">
        <x:f>IF(C40+'Sources'!$I$52-1&gt;='Controls'!$F$7,1,INDEX('Sources'!$E$15:$E$134,C40+'Sources'!$I$52))</x:f>
        <x:v>0.568854</x:v>
      </x:c>
      <x:c r="H40" s="20" t="n">
        <x:f>H39*(1-D40)^'Controls'!$F$6</x:f>
        <x:v>0.07491364366914581</x:v>
      </x:c>
      <x:c r="I40" s="20" t="n">
        <x:f>I39*(1-E40)^'Controls'!$F$6</x:f>
        <x:v>0.03155889178175388</x:v>
      </x:c>
      <x:c r="J40" s="20" t="n">
        <x:f>J39*(1-F40)^'Controls'!$F$6</x:f>
        <x:v>0.0010281841270886093</x:v>
      </x:c>
      <x:c r="K40" s="20" t="n">
        <x:f>K39*(1-G40)^'Controls'!$F$6</x:f>
        <x:v>0.00009594054355498107</x:v>
      </x:c>
      <x:c r="L40" s="52" t="n">
        <x:f>'Controls'!$F$5*(H40*'Sources'!$J$49+I40*'Sources'!$J$50+J40*'Sources'!$J$51+K40*'Sources'!$J$52)</x:f>
        <x:v>322789.9803646298</x:v>
      </x:c>
      <x:c r="M40" s="53" t="n">
        <x:f>'Curve'!M41</x:f>
        <x:v>0.1462226192140271</x:v>
      </x:c>
      <x:c r="N40" s="21" t="n">
        <x:f>L40*M40</x:f>
        <x:v>47199.19638496055</x:v>
      </x:c>
      <x:c r="O40" s="21" t="n">
        <x:f>C40*N40</x:f>
        <x:v>1651971.8734736193</x:v>
      </x:c>
      <x:c r="P40" s="21" t="n">
        <x:f>C40*O40</x:f>
        <x:v>57819015.57157668</x:v>
      </x:c>
      <x:c r="Q40" s="21" t="n">
        <x:f>IF(C40&gt;30,N40,0)</x:f>
        <x:v>47199.19638496055</x:v>
      </x:c>
      <x:c r="R40" s="52" t="n">
        <x:f>O40*'Curve'!N41</x:f>
        <x:v>0</x:v>
      </x:c>
      <x:c r="S40" s="52" t="n">
        <x:f>O40*'Curve'!O41</x:f>
        <x:v>0</x:v>
      </x:c>
      <x:c r="T40" s="52" t="n">
        <x:f>O40*'Curve'!P41</x:f>
        <x:v>0</x:v>
      </x:c>
      <x:c r="U40" s="52" t="n">
        <x:f>O40*'Curve'!Q41</x:f>
        <x:v>0</x:v>
      </x:c>
      <x:c r="V40" s="52" t="n">
        <x:f>O40*'Curve'!R41</x:f>
        <x:v>1651971.8734736193</x:v>
      </x:c>
      <x:c r="W40" s="52" t="n">
        <x:f>L40*'Curve'!J41</x:f>
        <x:v>47199.19638496055</x:v>
      </x:c>
    </x:row>
    <x:row r="41" ht="20" customHeight="1">
      <x:c r="A41" s="2"/>
      <x:c r="B41" s="2"/>
      <x:c r="C41" s="2" t="n">
        <x:v>36</x:v>
      </x:c>
      <x:c r="D41" s="46" t="n">
        <x:f>IF(C41+'Sources'!$I$49-1&gt;='Controls'!$F$7,1,INDEX('Sources'!$D$15:$D$134,C41+'Sources'!$I$49))</x:f>
        <x:v>0.262268</x:v>
      </x:c>
      <x:c r="E41" s="46" t="n">
        <x:f>IF(C41+'Sources'!$I$50-1&gt;='Controls'!$F$7,1,INDEX('Sources'!$E$15:$E$134,C41+'Sources'!$I$50))</x:f>
        <x:v>0.32968</x:v>
      </x:c>
      <x:c r="F41" s="46" t="n">
        <x:f>IF(C41+'Sources'!$I$51-1&gt;='Controls'!$F$7,1,INDEX('Sources'!$D$15:$D$134,C41+'Sources'!$I$51))</x:f>
        <x:v>0.467998</x:v>
      </x:c>
      <x:c r="G41" s="46" t="n">
        <x:f>IF(C41+'Sources'!$I$52-1&gt;='Controls'!$F$7,1,INDEX('Sources'!$E$15:$E$134,C41+'Sources'!$I$52))</x:f>
        <x:v>0.597297</x:v>
      </x:c>
      <x:c r="H41" s="20" t="n">
        <x:f>H40*(1-D41)^'Controls'!$F$6</x:f>
        <x:v>0.05526619217132628</x:v>
      </x:c>
      <x:c r="I41" s="20" t="n">
        <x:f>I40*(1-E41)^'Controls'!$F$6</x:f>
        <x:v>0.021154556339145262</x:v>
      </x:c>
      <x:c r="J41" s="20" t="n">
        <x:f>J40*(1-F41)^'Controls'!$F$6</x:f>
        <x:v>0.0005469960119793943</x:v>
      </x:c>
      <x:c r="K41" s="20" t="n">
        <x:f>K40*(1-G41)^'Controls'!$F$6</x:f>
        <x:v>0.00003863554471122155</x:v>
      </x:c>
      <x:c r="L41" s="52" t="n">
        <x:f>'Controls'!$F$5*(H41*'Sources'!$J$49+I41*'Sources'!$J$50+J41*'Sources'!$J$51+K41*'Sources'!$J$52)</x:f>
        <x:v>231019.14020148647</x:v>
      </x:c>
      <x:c r="M41" s="53" t="n">
        <x:f>'Curve'!M42</x:f>
        <x:v>0.140447917499335</x:v>
      </x:c>
      <x:c r="N41" s="21" t="n">
        <x:f>L41*M41</x:f>
        <x:v>32446.157143785676</x:v>
      </x:c>
      <x:c r="O41" s="21" t="n">
        <x:f>C41*N41</x:f>
        <x:v>1168061.6571762844</x:v>
      </x:c>
      <x:c r="P41" s="21" t="n">
        <x:f>C41*O41</x:f>
        <x:v>42050219.658346236</x:v>
      </x:c>
      <x:c r="Q41" s="21" t="n">
        <x:f>IF(C41&gt;30,N41,0)</x:f>
        <x:v>32446.157143785676</x:v>
      </x:c>
      <x:c r="R41" s="52" t="n">
        <x:f>O41*'Curve'!N42</x:f>
        <x:v>0</x:v>
      </x:c>
      <x:c r="S41" s="52" t="n">
        <x:f>O41*'Curve'!O42</x:f>
        <x:v>0</x:v>
      </x:c>
      <x:c r="T41" s="52" t="n">
        <x:f>O41*'Curve'!P42</x:f>
        <x:v>0</x:v>
      </x:c>
      <x:c r="U41" s="52" t="n">
        <x:f>O41*'Curve'!Q42</x:f>
        <x:v>0</x:v>
      </x:c>
      <x:c r="V41" s="52" t="n">
        <x:f>O41*'Curve'!R42</x:f>
        <x:v>1168061.6571762844</x:v>
      </x:c>
      <x:c r="W41" s="52" t="n">
        <x:f>L41*'Curve'!J42</x:f>
        <x:v>32446.157143785676</x:v>
      </x:c>
    </x:row>
    <x:row r="42" ht="20" customHeight="1">
      <x:c r="A42" s="2"/>
      <x:c r="B42" s="2"/>
      <x:c r="C42" s="2" t="n">
        <x:v>37</x:v>
      </x:c>
      <x:c r="D42" s="46" t="n">
        <x:f>IF(C42+'Sources'!$I$49-1&gt;='Controls'!$F$7,1,INDEX('Sources'!$D$15:$D$134,C42+'Sources'!$I$49))</x:f>
        <x:v>0.286291</x:v>
      </x:c>
      <x:c r="E42" s="46" t="n">
        <x:f>IF(C42+'Sources'!$I$50-1&gt;='Controls'!$F$7,1,INDEX('Sources'!$E$15:$E$134,C42+'Sources'!$I$50))</x:f>
        <x:v>0.353333</x:v>
      </x:c>
      <x:c r="F42" s="46" t="n">
        <x:f>IF(C42+'Sources'!$I$51-1&gt;='Controls'!$F$7,1,INDEX('Sources'!$D$15:$D$134,C42+'Sources'!$I$51))</x:f>
        <x:v>0.491398</x:v>
      </x:c>
      <x:c r="G42" s="46" t="n">
        <x:f>IF(C42+'Sources'!$I$52-1&gt;='Controls'!$F$7,1,INDEX('Sources'!$E$15:$E$134,C42+'Sources'!$I$52))</x:f>
        <x:v>0.627162</x:v>
      </x:c>
      <x:c r="H42" s="20" t="n">
        <x:f>H41*(1-D42)^'Controls'!$F$6</x:f>
        <x:v>0.0394439787484051</x:v>
      </x:c>
      <x:c r="I42" s="20" t="n">
        <x:f>I41*(1-E42)^'Controls'!$F$6</x:f>
        <x:v>0.01367995348416605</x:v>
      </x:c>
      <x:c r="J42" s="20" t="n">
        <x:f>J41*(1-F42)^'Controls'!$F$6</x:f>
        <x:v>0.0002782032656847439</x:v>
      </x:c>
      <x:c r="K42" s="20" t="n">
        <x:f>K41*(1-G42)^'Controls'!$F$6</x:f>
        <x:v>0.000014404799219042419</x:v>
      </x:c>
      <x:c r="L42" s="52" t="n">
        <x:f>'Controls'!$F$5*(H42*'Sources'!$J$49+I42*'Sources'!$J$50+J42*'Sources'!$J$51+K42*'Sources'!$J$52)</x:f>
        <x:v>160249.6208924248</x:v>
      </x:c>
      <x:c r="M42" s="53" t="n">
        <x:f>'Curve'!M43</x:f>
        <x:v>0.1350930904920229</x:v>
      </x:c>
      <x:c r="N42" s="21" t="n">
        <x:f>L42*M42</x:f>
        <x:v>21648.616536532707</x:v>
      </x:c>
      <x:c r="O42" s="21" t="n">
        <x:f>C42*N42</x:f>
        <x:v>800998.8118517102</x:v>
      </x:c>
      <x:c r="P42" s="21" t="n">
        <x:f>C42*O42</x:f>
        <x:v>29636956.038513277</x:v>
      </x:c>
      <x:c r="Q42" s="21" t="n">
        <x:f>IF(C42&gt;30,N42,0)</x:f>
        <x:v>21648.616536532707</x:v>
      </x:c>
      <x:c r="R42" s="52" t="n">
        <x:f>O42*'Curve'!N43</x:f>
        <x:v>0</x:v>
      </x:c>
      <x:c r="S42" s="52" t="n">
        <x:f>O42*'Curve'!O43</x:f>
        <x:v>0</x:v>
      </x:c>
      <x:c r="T42" s="52" t="n">
        <x:f>O42*'Curve'!P43</x:f>
        <x:v>0</x:v>
      </x:c>
      <x:c r="U42" s="52" t="n">
        <x:f>O42*'Curve'!Q43</x:f>
        <x:v>0</x:v>
      </x:c>
      <x:c r="V42" s="52" t="n">
        <x:f>O42*'Curve'!R43</x:f>
        <x:v>800998.8118517102</x:v>
      </x:c>
      <x:c r="W42" s="52" t="n">
        <x:f>L42*'Curve'!J43</x:f>
        <x:v>21648.616536532707</x:v>
      </x:c>
    </x:row>
    <x:row r="43" ht="20" customHeight="1">
      <x:c r="A43" s="2"/>
      <x:c r="B43" s="2"/>
      <x:c r="C43" s="2" t="n">
        <x:v>38</x:v>
      </x:c>
      <x:c r="D43" s="46" t="n">
        <x:f>IF(C43+'Sources'!$I$49-1&gt;='Controls'!$F$7,1,INDEX('Sources'!$D$15:$D$134,C43+'Sources'!$I$49))</x:f>
        <x:v>0.310944</x:v>
      </x:c>
      <x:c r="E43" s="46" t="n">
        <x:f>IF(C43+'Sources'!$I$50-1&gt;='Controls'!$F$7,1,INDEX('Sources'!$E$15:$E$134,C43+'Sources'!$I$50))</x:f>
        <x:v>0.3773</x:v>
      </x:c>
      <x:c r="F43" s="46" t="n">
        <x:f>IF(C43+'Sources'!$I$51-1&gt;='Controls'!$F$7,1,INDEX('Sources'!$D$15:$D$134,C43+'Sources'!$I$51))</x:f>
        <x:v>0.515968</x:v>
      </x:c>
      <x:c r="G43" s="46" t="n">
        <x:f>IF(C43+'Sources'!$I$52-1&gt;='Controls'!$F$7,1,INDEX('Sources'!$E$15:$E$134,C43+'Sources'!$I$52))</x:f>
        <x:v>0.65852</x:v>
      </x:c>
      <x:c r="H43" s="20" t="n">
        <x:f>H42*(1-D43)^'Controls'!$F$6</x:f>
        <x:v>0.027179110220461024</x:v>
      </x:c>
      <x:c r="I43" s="20" t="n">
        <x:f>I42*(1-E43)^'Controls'!$F$6</x:f>
        <x:v>0.008518507034590199</x:v>
      </x:c>
      <x:c r="J43" s="20" t="n">
        <x:f>J42*(1-F43)^'Controls'!$F$6</x:f>
        <x:v>0.00013465928309591796</x:v>
      </x:c>
      <x:c r="K43" s="20" t="n">
        <x:f>K42*(1-G43)^'Controls'!$F$6</x:f>
        <x:v>0.000004918950837318606</x:v>
      </x:c>
      <x:c r="L43" s="52" t="n">
        <x:f>'Controls'!$F$5*(H43*'Sources'!$J$49+I43*'Sources'!$J$50+J43*'Sources'!$J$51+K43*'Sources'!$J$52)</x:f>
        <x:v>107511.58646695339</x:v>
      </x:c>
      <x:c r="M43" s="53" t="n">
        <x:f>'Curve'!M44</x:f>
        <x:v>0.13012433570760448</x:v>
      </x:c>
      <x:c r="N43" s="21" t="n">
        <x:f>L43*M43</x:f>
        <x:v>13989.87376988299</x:v>
      </x:c>
      <x:c r="O43" s="21" t="n">
        <x:f>C43*N43</x:f>
        <x:v>531615.2032555536</x:v>
      </x:c>
      <x:c r="P43" s="21" t="n">
        <x:f>C43*O43</x:f>
        <x:v>20201377.723711036</x:v>
      </x:c>
      <x:c r="Q43" s="21" t="n">
        <x:f>IF(C43&gt;30,N43,0)</x:f>
        <x:v>13989.87376988299</x:v>
      </x:c>
      <x:c r="R43" s="52" t="n">
        <x:f>O43*'Curve'!N44</x:f>
        <x:v>0</x:v>
      </x:c>
      <x:c r="S43" s="52" t="n">
        <x:f>O43*'Curve'!O44</x:f>
        <x:v>0</x:v>
      </x:c>
      <x:c r="T43" s="52" t="n">
        <x:f>O43*'Curve'!P44</x:f>
        <x:v>0</x:v>
      </x:c>
      <x:c r="U43" s="52" t="n">
        <x:f>O43*'Curve'!Q44</x:f>
        <x:v>0</x:v>
      </x:c>
      <x:c r="V43" s="52" t="n">
        <x:f>O43*'Curve'!R44</x:f>
        <x:v>531615.2032555536</x:v>
      </x:c>
      <x:c r="W43" s="52" t="n">
        <x:f>L43*'Curve'!J44</x:f>
        <x:v>13989.87376988299</x:v>
      </x:c>
    </x:row>
    <x:row r="44" ht="20" customHeight="1">
      <x:c r="A44" s="2"/>
      <x:c r="B44" s="2"/>
      <x:c r="C44" s="2" t="n">
        <x:v>39</x:v>
      </x:c>
      <x:c r="D44" s="46" t="n">
        <x:f>IF(C44+'Sources'!$I$49-1&gt;='Controls'!$F$7,1,INDEX('Sources'!$D$15:$D$134,C44+'Sources'!$I$49))</x:f>
        <x:v>0.332325</x:v>
      </x:c>
      <x:c r="E44" s="46" t="n">
        <x:f>IF(C44+'Sources'!$I$50-1&gt;='Controls'!$F$7,1,INDEX('Sources'!$E$15:$E$134,C44+'Sources'!$I$50))</x:f>
        <x:v>0.401416</x:v>
      </x:c>
      <x:c r="F44" s="46" t="n">
        <x:f>IF(C44+'Sources'!$I$51-1&gt;='Controls'!$F$7,1,INDEX('Sources'!$D$15:$D$134,C44+'Sources'!$I$51))</x:f>
        <x:v>0.541766</x:v>
      </x:c>
      <x:c r="G44" s="46" t="n">
        <x:f>IF(C44+'Sources'!$I$52-1&gt;='Controls'!$F$7,1,INDEX('Sources'!$E$15:$E$134,C44+'Sources'!$I$52))</x:f>
        <x:v>0.691446</x:v>
      </x:c>
      <x:c r="H44" s="20" t="n">
        <x:f>H43*(1-D44)^'Controls'!$F$6</x:f>
        <x:v>0.018146812416446313</x:v>
      </x:c>
      <x:c r="I44" s="20" t="n">
        <x:f>I43*(1-E44)^'Controls'!$F$6</x:f>
        <x:v>0.00509904201479314</x:v>
      </x:c>
      <x:c r="J44" s="20" t="n">
        <x:f>J43*(1-F44)^'Controls'!$F$6</x:f>
        <x:v>0.00006170546193017488</x:v>
      </x:c>
      <x:c r="K44" s="20" t="n">
        <x:f>K43*(1-G44)^'Controls'!$F$6</x:f>
        <x:v>0.000001517761956658005</x:v>
      </x:c>
      <x:c r="L44" s="52" t="n">
        <x:f>'Controls'!$F$5*(H44*'Sources'!$J$49+I44*'Sources'!$J$50+J44*'Sources'!$J$51+K44*'Sources'!$J$52)</x:f>
        <x:v>69927.23296537885</x:v>
      </x:c>
      <x:c r="M44" s="53" t="n">
        <x:f>'Curve'!M45</x:f>
        <x:v>0.12551070354975663</x:v>
      </x:c>
      <x:c r="N44" s="21" t="n">
        <x:f>L44*M44</x:f>
        <x:v>8776.616206772434</x:v>
      </x:c>
      <x:c r="O44" s="21" t="n">
        <x:f>C44*N44</x:f>
        <x:v>342288.03206412494</x:v>
      </x:c>
      <x:c r="P44" s="21" t="n">
        <x:f>C44*O44</x:f>
        <x:v>13349233.250500873</x:v>
      </x:c>
      <x:c r="Q44" s="21" t="n">
        <x:f>IF(C44&gt;30,N44,0)</x:f>
        <x:v>8776.616206772434</x:v>
      </x:c>
      <x:c r="R44" s="52" t="n">
        <x:f>O44*'Curve'!N45</x:f>
        <x:v>0</x:v>
      </x:c>
      <x:c r="S44" s="52" t="n">
        <x:f>O44*'Curve'!O45</x:f>
        <x:v>0</x:v>
      </x:c>
      <x:c r="T44" s="52" t="n">
        <x:f>O44*'Curve'!P45</x:f>
        <x:v>0</x:v>
      </x:c>
      <x:c r="U44" s="52" t="n">
        <x:f>O44*'Curve'!Q45</x:f>
        <x:v>0</x:v>
      </x:c>
      <x:c r="V44" s="52" t="n">
        <x:f>O44*'Curve'!R45</x:f>
        <x:v>342288.03206412494</x:v>
      </x:c>
      <x:c r="W44" s="52" t="n">
        <x:f>L44*'Curve'!J45</x:f>
        <x:v>8776.616206772434</x:v>
      </x:c>
    </x:row>
    <x:row r="45" ht="20" customHeight="1">
      <x:c r="A45" s="2"/>
      <x:c r="B45" s="2"/>
      <x:c r="C45" s="2" t="n">
        <x:v>40</x:v>
      </x:c>
      <x:c r="D45" s="46" t="n">
        <x:f>IF(C45+'Sources'!$I$49-1&gt;='Controls'!$F$7,1,INDEX('Sources'!$D$15:$D$134,C45+'Sources'!$I$49))</x:f>
        <x:v>0.349036</x:v>
      </x:c>
      <x:c r="E45" s="46" t="n">
        <x:f>IF(C45+'Sources'!$I$50-1&gt;='Controls'!$F$7,1,INDEX('Sources'!$E$15:$E$134,C45+'Sources'!$I$50))</x:f>
        <x:v>0.425501</x:v>
      </x:c>
      <x:c r="F45" s="46" t="n">
        <x:f>IF(C45+'Sources'!$I$51-1&gt;='Controls'!$F$7,1,INDEX('Sources'!$D$15:$D$134,C45+'Sources'!$I$51))</x:f>
        <x:v>0.568854</x:v>
      </x:c>
      <x:c r="G45" s="46" t="n">
        <x:f>IF(C45+'Sources'!$I$52-1&gt;='Controls'!$F$7,1,INDEX('Sources'!$E$15:$E$134,C45+'Sources'!$I$52))</x:f>
        <x:v>0.726018</x:v>
      </x:c>
      <x:c r="H45" s="20" t="n">
        <x:f>H44*(1-D45)^'Controls'!$F$6</x:f>
        <x:v>0.011812921597859558</x:v>
      </x:c>
      <x:c r="I45" s="20" t="n">
        <x:f>I44*(1-E45)^'Controls'!$F$6</x:f>
        <x:v>0.002929394538456644</x:v>
      </x:c>
      <x:c r="J45" s="20" t="n">
        <x:f>J44*(1-F45)^'Controls'!$F$6</x:f>
        <x:v>0.00002660406308934718</x:v>
      </x:c>
      <x:c r="K45" s="20" t="n">
        <x:f>K44*(1-G45)^'Controls'!$F$6</x:f>
        <x:v>4.1583945640907343e-7</x:v>
      </x:c>
      <x:c r="L45" s="52" t="n">
        <x:f>'Controls'!$F$5*(H45*'Sources'!$J$49+I45*'Sources'!$J$50+J45*'Sources'!$J$51+K45*'Sources'!$J$52)</x:f>
        <x:v>44308.00811658587</x:v>
      </x:c>
      <x:c r="M45" s="53" t="n">
        <x:f>'Curve'!M46</x:f>
        <x:v>0.12122387319059169</x:v>
      </x:c>
      <x:c r="N45" s="21" t="n">
        <x:f>L45*M45</x:f>
        <x:v>5371.188357252713</x:v>
      </x:c>
      <x:c r="O45" s="21" t="n">
        <x:f>C45*N45</x:f>
        <x:v>214847.53429010854</x:v>
      </x:c>
      <x:c r="P45" s="21" t="n">
        <x:f>C45*O45</x:f>
        <x:v>8593901.371604342</x:v>
      </x:c>
      <x:c r="Q45" s="21" t="n">
        <x:f>IF(C45&gt;30,N45,0)</x:f>
        <x:v>5371.188357252713</x:v>
      </x:c>
      <x:c r="R45" s="52" t="n">
        <x:f>O45*'Curve'!N46</x:f>
        <x:v>0</x:v>
      </x:c>
      <x:c r="S45" s="52" t="n">
        <x:f>O45*'Curve'!O46</x:f>
        <x:v>0</x:v>
      </x:c>
      <x:c r="T45" s="52" t="n">
        <x:f>O45*'Curve'!P46</x:f>
        <x:v>0</x:v>
      </x:c>
      <x:c r="U45" s="52" t="n">
        <x:f>O45*'Curve'!Q46</x:f>
        <x:v>0</x:v>
      </x:c>
      <x:c r="V45" s="52" t="n">
        <x:f>O45*'Curve'!R46</x:f>
        <x:v>214847.53429010854</x:v>
      </x:c>
      <x:c r="W45" s="52" t="n">
        <x:f>L45*'Curve'!J46</x:f>
        <x:v>5371.188357252713</x:v>
      </x:c>
    </x:row>
    <x:row r="46" ht="20" customHeight="1">
      <x:c r="A46" s="2"/>
      <x:c r="B46" s="2"/>
      <x:c r="C46" s="2" t="n">
        <x:v>41</x:v>
      </x:c>
      <x:c r="D46" s="46" t="n">
        <x:f>IF(C46+'Sources'!$I$49-1&gt;='Controls'!$F$7,1,INDEX('Sources'!$D$15:$D$134,C46+'Sources'!$I$49))</x:f>
        <x:v>0.366568</x:v>
      </x:c>
      <x:c r="E46" s="46" t="n">
        <x:f>IF(C46+'Sources'!$I$50-1&gt;='Controls'!$F$7,1,INDEX('Sources'!$E$15:$E$134,C46+'Sources'!$I$50))</x:f>
        <x:v>0.451031</x:v>
      </x:c>
      <x:c r="F46" s="46" t="n">
        <x:f>IF(C46+'Sources'!$I$51-1&gt;='Controls'!$F$7,1,INDEX('Sources'!$D$15:$D$134,C46+'Sources'!$I$51))</x:f>
        <x:v>0.597297</x:v>
      </x:c>
      <x:c r="G46" s="46" t="n">
        <x:f>IF(C46+'Sources'!$I$52-1&gt;='Controls'!$F$7,1,INDEX('Sources'!$E$15:$E$134,C46+'Sources'!$I$52))</x:f>
        <x:v>0.762319</x:v>
      </x:c>
      <x:c r="H46" s="20" t="n">
        <x:f>H45*(1-D46)^'Controls'!$F$6</x:f>
        <x:v>0.007482682553575375</x:v>
      </x:c>
      <x:c r="I46" s="20" t="n">
        <x:f>I45*(1-E46)^'Controls'!$F$6</x:f>
        <x:v>0.0016081467903820055</x:v>
      </x:c>
      <x:c r="J46" s="20" t="n">
        <x:f>J45*(1-F46)^'Controls'!$F$6</x:f>
        <x:v>0.000010713536018269378</x:v>
      </x:c>
      <x:c r="K46" s="20" t="n">
        <x:f>K45*(1-G46)^'Controls'!$F$6</x:f>
        <x:v>9.8837137838765e-8</x:v>
      </x:c>
      <x:c r="L46" s="52" t="n">
        <x:f>'Controls'!$F$5*(H46*'Sources'!$J$49+I46*'Sources'!$J$50+J46*'Sources'!$J$51+K46*'Sources'!$J$52)</x:f>
        <x:v>27304.925151340463</x:v>
      </x:c>
      <x:c r="M46" s="53" t="n">
        <x:f>'Curve'!M47</x:f>
        <x:v>0.11723793913141038</x:v>
      </x:c>
      <x:c r="N46" s="21" t="n">
        <x:f>L46*M46</x:f>
        <x:v>3201.1731528805694</x:v>
      </x:c>
      <x:c r="O46" s="21" t="n">
        <x:f>C46*N46</x:f>
        <x:v>131248.09926810334</x:v>
      </x:c>
      <x:c r="P46" s="21" t="n">
        <x:f>C46*O46</x:f>
        <x:v>5381172.069992237</x:v>
      </x:c>
      <x:c r="Q46" s="21" t="n">
        <x:f>IF(C46&gt;30,N46,0)</x:f>
        <x:v>3201.1731528805694</x:v>
      </x:c>
      <x:c r="R46" s="52" t="n">
        <x:f>O46*'Curve'!N47</x:f>
        <x:v>0</x:v>
      </x:c>
      <x:c r="S46" s="52" t="n">
        <x:f>O46*'Curve'!O47</x:f>
        <x:v>0</x:v>
      </x:c>
      <x:c r="T46" s="52" t="n">
        <x:f>O46*'Curve'!P47</x:f>
        <x:v>0</x:v>
      </x:c>
      <x:c r="U46" s="52" t="n">
        <x:f>O46*'Curve'!Q47</x:f>
        <x:v>0</x:v>
      </x:c>
      <x:c r="V46" s="52" t="n">
        <x:f>O46*'Curve'!R47</x:f>
        <x:v>131248.09926810334</x:v>
      </x:c>
      <x:c r="W46" s="52" t="n">
        <x:f>L46*'Curve'!J47</x:f>
        <x:v>3201.1731528805694</x:v>
      </x:c>
    </x:row>
    <x:row r="47" ht="20" customHeight="1">
      <x:c r="A47" s="2"/>
      <x:c r="B47" s="2"/>
      <x:c r="C47" s="2" t="n">
        <x:v>42</x:v>
      </x:c>
      <x:c r="D47" s="46" t="n">
        <x:f>IF(C47+'Sources'!$I$49-1&gt;='Controls'!$F$7,1,INDEX('Sources'!$D$15:$D$134,C47+'Sources'!$I$49))</x:f>
        <x:v>0.38496</x:v>
      </x:c>
      <x:c r="E47" s="46" t="n">
        <x:f>IF(C47+'Sources'!$I$50-1&gt;='Controls'!$F$7,1,INDEX('Sources'!$E$15:$E$134,C47+'Sources'!$I$50))</x:f>
        <x:v>0.478092</x:v>
      </x:c>
      <x:c r="F47" s="46" t="n">
        <x:f>IF(C47+'Sources'!$I$51-1&gt;='Controls'!$F$7,1,INDEX('Sources'!$D$15:$D$134,C47+'Sources'!$I$51))</x:f>
        <x:v>0.627162</x:v>
      </x:c>
      <x:c r="G47" s="46" t="n">
        <x:f>IF(C47+'Sources'!$I$52-1&gt;='Controls'!$F$7,1,INDEX('Sources'!$E$15:$E$134,C47+'Sources'!$I$52))</x:f>
        <x:v>0.800435</x:v>
      </x:c>
      <x:c r="H47" s="20" t="n">
        <x:f>H46*(1-D47)^'Controls'!$F$6</x:f>
        <x:v>0.004602149077750999</x:v>
      </x:c>
      <x:c r="I47" s="20" t="n">
        <x:f>I46*(1-E47)^'Controls'!$F$6</x:f>
        <x:v>0.0008393046750746918</x:v>
      </x:c>
      <x:c r="J47" s="20" t="n">
        <x:f>J46*(1-F47)^'Controls'!$F$6</x:f>
        <x:v>0.0000039944133419795185</x:v>
      </x:c>
      <x:c r="K47" s="20" t="n">
        <x:f>K46*(1-G47)^'Controls'!$F$6</x:f>
        <x:v>1.9724433412793137e-8</x:v>
      </x:c>
      <x:c r="L47" s="52" t="n">
        <x:f>'Controls'!$F$5*(H47*'Sources'!$J$49+I47*'Sources'!$J$50+J47*'Sources'!$J$51+K47*'Sources'!$J$52)</x:f>
        <x:v>16336.40367180325</x:v>
      </x:c>
      <x:c r="M47" s="53" t="n">
        <x:f>'Curve'!M48</x:f>
        <x:v>0.11352920994664811</x:v>
      </x:c>
      <x:c r="N47" s="21" t="n">
        <x:f>L47*M47</x:f>
        <x:v>1854.6590022293442</x:v>
      </x:c>
      <x:c r="O47" s="21" t="n">
        <x:f>C47*N47</x:f>
        <x:v>77895.67809363245</x:v>
      </x:c>
      <x:c r="P47" s="21" t="n">
        <x:f>C47*O47</x:f>
        <x:v>3271618.479932563</x:v>
      </x:c>
      <x:c r="Q47" s="21" t="n">
        <x:f>IF(C47&gt;30,N47,0)</x:f>
        <x:v>1854.6590022293442</x:v>
      </x:c>
      <x:c r="R47" s="52" t="n">
        <x:f>O47*'Curve'!N48</x:f>
        <x:v>0</x:v>
      </x:c>
      <x:c r="S47" s="52" t="n">
        <x:f>O47*'Curve'!O48</x:f>
        <x:v>0</x:v>
      </x:c>
      <x:c r="T47" s="52" t="n">
        <x:f>O47*'Curve'!P48</x:f>
        <x:v>0</x:v>
      </x:c>
      <x:c r="U47" s="52" t="n">
        <x:f>O47*'Curve'!Q48</x:f>
        <x:v>0</x:v>
      </x:c>
      <x:c r="V47" s="52" t="n">
        <x:f>O47*'Curve'!R48</x:f>
        <x:v>77895.67809363245</x:v>
      </x:c>
      <x:c r="W47" s="52" t="n">
        <x:f>L47*'Curve'!J48</x:f>
        <x:v>1854.6590022293442</x:v>
      </x:c>
    </x:row>
    <x:row r="48" ht="20" customHeight="1">
      <x:c r="A48" s="2"/>
      <x:c r="B48" s="2"/>
      <x:c r="C48" s="2" t="n">
        <x:v>43</x:v>
      </x:c>
      <x:c r="D48" s="46" t="n">
        <x:f>IF(C48+'Sources'!$I$49-1&gt;='Controls'!$F$7,1,INDEX('Sources'!$D$15:$D$134,C48+'Sources'!$I$49))</x:f>
        <x:v>0.404252</x:v>
      </x:c>
      <x:c r="E48" s="46" t="n">
        <x:f>IF(C48+'Sources'!$I$50-1&gt;='Controls'!$F$7,1,INDEX('Sources'!$E$15:$E$134,C48+'Sources'!$I$50))</x:f>
        <x:v>0.506778</x:v>
      </x:c>
      <x:c r="F48" s="46" t="n">
        <x:f>IF(C48+'Sources'!$I$51-1&gt;='Controls'!$F$7,1,INDEX('Sources'!$D$15:$D$134,C48+'Sources'!$I$51))</x:f>
        <x:v>0.65852</x:v>
      </x:c>
      <x:c r="G48" s="46" t="n">
        <x:f>IF(C48+'Sources'!$I$52-1&gt;='Controls'!$F$7,1,INDEX('Sources'!$E$15:$E$134,C48+'Sources'!$I$52))</x:f>
        <x:v>0.840457</x:v>
      </x:c>
      <x:c r="H48" s="20" t="n">
        <x:f>H47*(1-D48)^'Controls'!$F$6</x:f>
        <x:v>0.0027417211087720017</x:v>
      </x:c>
      <x:c r="I48" s="20" t="n">
        <x:f>I47*(1-E48)^'Controls'!$F$6</x:f>
        <x:v>0.0004139635304496897</x:v>
      </x:c>
      <x:c r="J48" s="20" t="n">
        <x:f>J47*(1-F48)^'Controls'!$F$6</x:f>
        <x:v>0.000001364012268019166</x:v>
      </x:c>
      <x:c r="K48" s="20" t="n">
        <x:f>K47*(1-G48)^'Controls'!$F$6</x:f>
        <x:v>3.146895279977255e-9</x:v>
      </x:c>
      <x:c r="L48" s="52" t="n">
        <x:f>'Controls'!$F$5*(H48*'Sources'!$J$49+I48*'Sources'!$J$50+J48*'Sources'!$J$51+K48*'Sources'!$J$52)</x:f>
        <x:v>9471.155395154972</x:v>
      </x:c>
      <x:c r="M48" s="53" t="n">
        <x:f>'Curve'!M49</x:f>
        <x:v>0.11007602000568631</x:v>
      </x:c>
      <x:c r="N48" s="21" t="n">
        <x:f>L48*M48</x:f>
        <x:v>1042.5470907540425</x:v>
      </x:c>
      <x:c r="O48" s="21" t="n">
        <x:f>C48*N48</x:f>
        <x:v>44829.52490242383</x:v>
      </x:c>
      <x:c r="P48" s="21" t="n">
        <x:f>C48*O48</x:f>
        <x:v>1927669.5708042246</x:v>
      </x:c>
      <x:c r="Q48" s="21" t="n">
        <x:f>IF(C48&gt;30,N48,0)</x:f>
        <x:v>1042.5470907540425</x:v>
      </x:c>
      <x:c r="R48" s="52" t="n">
        <x:f>O48*'Curve'!N49</x:f>
        <x:v>0</x:v>
      </x:c>
      <x:c r="S48" s="52" t="n">
        <x:f>O48*'Curve'!O49</x:f>
        <x:v>0</x:v>
      </x:c>
      <x:c r="T48" s="52" t="n">
        <x:f>O48*'Curve'!P49</x:f>
        <x:v>0</x:v>
      </x:c>
      <x:c r="U48" s="52" t="n">
        <x:f>O48*'Curve'!Q49</x:f>
        <x:v>0</x:v>
      </x:c>
      <x:c r="V48" s="52" t="n">
        <x:f>O48*'Curve'!R49</x:f>
        <x:v>44829.52490242383</x:v>
      </x:c>
      <x:c r="W48" s="52" t="n">
        <x:f>L48*'Curve'!J49</x:f>
        <x:v>1042.5470907540425</x:v>
      </x:c>
    </x:row>
    <x:row r="49" ht="20" customHeight="1">
      <x:c r="A49" s="2"/>
      <x:c r="B49" s="2"/>
      <x:c r="C49" s="2" t="n">
        <x:v>44</x:v>
      </x:c>
      <x:c r="D49" s="46" t="n">
        <x:f>IF(C49+'Sources'!$I$49-1&gt;='Controls'!$F$7,1,INDEX('Sources'!$D$15:$D$134,C49+'Sources'!$I$49))</x:f>
        <x:v>0.424488</x:v>
      </x:c>
      <x:c r="E49" s="46" t="n">
        <x:f>IF(C49+'Sources'!$I$50-1&gt;='Controls'!$F$7,1,INDEX('Sources'!$E$15:$E$134,C49+'Sources'!$I$50))</x:f>
        <x:v>0.537185</x:v>
      </x:c>
      <x:c r="F49" s="46" t="n">
        <x:f>IF(C49+'Sources'!$I$51-1&gt;='Controls'!$F$7,1,INDEX('Sources'!$D$15:$D$134,C49+'Sources'!$I$51))</x:f>
        <x:v>0.691446</x:v>
      </x:c>
      <x:c r="G49" s="46" t="n">
        <x:f>IF(C49+'Sources'!$I$52-1&gt;='Controls'!$F$7,1,INDEX('Sources'!$E$15:$E$134,C49+'Sources'!$I$52))</x:f>
        <x:v>0.88248</x:v>
      </x:c>
      <x:c r="H49" s="20" t="n">
        <x:f>H48*(1-D49)^'Controls'!$F$6</x:f>
        <x:v>0.0015778933987515924</x:v>
      </x:c>
      <x:c r="I49" s="20" t="n">
        <x:f>I48*(1-E49)^'Controls'!$F$6</x:f>
        <x:v>0.00019158853134507313</x:v>
      </x:c>
      <x:c r="J49" s="20" t="n">
        <x:f>J48*(1-F49)^'Controls'!$F$6</x:f>
        <x:v>4.2087144134638573e-7</x:v>
      </x:c>
      <x:c r="K49" s="20" t="n">
        <x:f>K48*(1-G49)^'Controls'!$F$6</x:f>
        <x:v>3.6982313330292687e-10</x:v>
      </x:c>
      <x:c r="L49" s="52" t="n">
        <x:f>'Controls'!$F$5*(H49*'Sources'!$J$49+I49*'Sources'!$J$50+J49*'Sources'!$J$51+K49*'Sources'!$J$52)</x:f>
        <x:v>5309.709514083435</x:v>
      </x:c>
      <x:c r="M49" s="53" t="n">
        <x:f>'Curve'!M50</x:f>
        <x:v>0.10685855444619108</x:v>
      </x:c>
      <x:c r="N49" s="21" t="n">
        <x:f>L49*M49</x:f>
        <x:v>567.3878832041436</x:v>
      </x:c>
      <x:c r="O49" s="21" t="n">
        <x:f>C49*N49</x:f>
        <x:v>24965.06686098232</x:v>
      </x:c>
      <x:c r="P49" s="21" t="n">
        <x:f>C49*O49</x:f>
        <x:v>1098462.941883222</x:v>
      </x:c>
      <x:c r="Q49" s="21" t="n">
        <x:f>IF(C49&gt;30,N49,0)</x:f>
        <x:v>567.3878832041436</x:v>
      </x:c>
      <x:c r="R49" s="52" t="n">
        <x:f>O49*'Curve'!N50</x:f>
        <x:v>0</x:v>
      </x:c>
      <x:c r="S49" s="52" t="n">
        <x:f>O49*'Curve'!O50</x:f>
        <x:v>0</x:v>
      </x:c>
      <x:c r="T49" s="52" t="n">
        <x:f>O49*'Curve'!P50</x:f>
        <x:v>0</x:v>
      </x:c>
      <x:c r="U49" s="52" t="n">
        <x:f>O49*'Curve'!Q50</x:f>
        <x:v>0</x:v>
      </x:c>
      <x:c r="V49" s="52" t="n">
        <x:f>O49*'Curve'!R50</x:f>
        <x:v>24965.06686098232</x:v>
      </x:c>
      <x:c r="W49" s="52" t="n">
        <x:f>L49*'Curve'!J50</x:f>
        <x:v>567.3878832041436</x:v>
      </x:c>
    </x:row>
    <x:row r="50" ht="20" customHeight="1">
      <x:c r="A50" s="2"/>
      <x:c r="B50" s="2"/>
      <x:c r="C50" s="2" t="n">
        <x:v>45</x:v>
      </x:c>
      <x:c r="D50" s="46" t="n">
        <x:f>IF(C50+'Sources'!$I$49-1&gt;='Controls'!$F$7,1,INDEX('Sources'!$D$15:$D$134,C50+'Sources'!$I$49))</x:f>
        <x:v>0.445712</x:v>
      </x:c>
      <x:c r="E50" s="46" t="n">
        <x:f>IF(C50+'Sources'!$I$50-1&gt;='Controls'!$F$7,1,INDEX('Sources'!$E$15:$E$134,C50+'Sources'!$I$50))</x:f>
        <x:v>0.568854</x:v>
      </x:c>
      <x:c r="F50" s="46" t="n">
        <x:f>IF(C50+'Sources'!$I$51-1&gt;='Controls'!$F$7,1,INDEX('Sources'!$D$15:$D$134,C50+'Sources'!$I$51))</x:f>
        <x:v>0.726018</x:v>
      </x:c>
      <x:c r="G50" s="46" t="n">
        <x:f>IF(C50+'Sources'!$I$52-1&gt;='Controls'!$F$7,1,INDEX('Sources'!$E$15:$E$134,C50+'Sources'!$I$52))</x:f>
        <x:v>0.926604</x:v>
      </x:c>
      <x:c r="H50" s="20" t="n">
        <x:f>H49*(1-D50)^'Controls'!$F$6</x:f>
        <x:v>0.0008746073762072227</x:v>
      </x:c>
      <x:c r="I50" s="20" t="n">
        <x:f>I49*(1-E50)^'Controls'!$F$6</x:f>
        <x:v>0.0000826026289353029</x:v>
      </x:c>
      <x:c r="J50" s="20" t="n">
        <x:f>J49*(1-F50)^'Controls'!$F$6</x:f>
        <x:v>1.1531119924296543e-7</x:v>
      </x:c>
      <x:c r="K50" s="20" t="n">
        <x:f>K49*(1-G50)^'Controls'!$F$6</x:f>
        <x:v>2.7143538691901627e-11</x:v>
      </x:c>
      <x:c r="L50" s="52" t="n">
        <x:f>'Controls'!$F$5*(H50*'Sources'!$J$49+I50*'Sources'!$J$50+J50*'Sources'!$J$51+K50*'Sources'!$J$52)</x:f>
        <x:v>2871.976030455922</x:v>
      </x:c>
      <x:c r="M50" s="53" t="n">
        <x:f>'Curve'!M51</x:f>
        <x:v>0.10385868729702505</x:v>
      </x:c>
      <x:c r="N50" s="21" t="n">
        <x:f>L50*M50</x:f>
        <x:v>298.27966047167286</x:v>
      </x:c>
      <x:c r="O50" s="21" t="n">
        <x:f>C50*N50</x:f>
        <x:v>13422.58472122528</x:v>
      </x:c>
      <x:c r="P50" s="21" t="n">
        <x:f>C50*O50</x:f>
        <x:v>604016.3124551376</x:v>
      </x:c>
      <x:c r="Q50" s="21" t="n">
        <x:f>IF(C50&gt;30,N50,0)</x:f>
        <x:v>298.27966047167286</x:v>
      </x:c>
      <x:c r="R50" s="52" t="n">
        <x:f>O50*'Curve'!N51</x:f>
        <x:v>0</x:v>
      </x:c>
      <x:c r="S50" s="52" t="n">
        <x:f>O50*'Curve'!O51</x:f>
        <x:v>0</x:v>
      </x:c>
      <x:c r="T50" s="52" t="n">
        <x:f>O50*'Curve'!P51</x:f>
        <x:v>0</x:v>
      </x:c>
      <x:c r="U50" s="52" t="n">
        <x:f>O50*'Curve'!Q51</x:f>
        <x:v>0</x:v>
      </x:c>
      <x:c r="V50" s="52" t="n">
        <x:f>O50*'Curve'!R51</x:f>
        <x:v>13422.58472122528</x:v>
      </x:c>
      <x:c r="W50" s="52" t="n">
        <x:f>L50*'Curve'!J51</x:f>
        <x:v>298.27966047167286</x:v>
      </x:c>
    </x:row>
    <x:row r="51" ht="20" customHeight="1">
      <x:c r="A51" s="2"/>
      <x:c r="B51" s="2"/>
      <x:c r="C51" s="2" t="n">
        <x:v>46</x:v>
      </x:c>
      <x:c r="D51" s="46" t="n">
        <x:f>IF(C51+'Sources'!$I$49-1&gt;='Controls'!$F$7,1,INDEX('Sources'!$D$15:$D$134,C51+'Sources'!$I$49))</x:f>
        <x:v>0.467998</x:v>
      </x:c>
      <x:c r="E51" s="46" t="n">
        <x:f>IF(C51+'Sources'!$I$50-1&gt;='Controls'!$F$7,1,INDEX('Sources'!$E$15:$E$134,C51+'Sources'!$I$50))</x:f>
        <x:v>0.597297</x:v>
      </x:c>
      <x:c r="F51" s="46" t="n">
        <x:f>IF(C51+'Sources'!$I$51-1&gt;='Controls'!$F$7,1,INDEX('Sources'!$D$15:$D$134,C51+'Sources'!$I$51))</x:f>
        <x:v>0.762319</x:v>
      </x:c>
      <x:c r="G51" s="46" t="n">
        <x:f>IF(C51+'Sources'!$I$52-1&gt;='Controls'!$F$7,1,INDEX('Sources'!$E$15:$E$134,C51+'Sources'!$I$52))</x:f>
        <x:v>1</x:v>
      </x:c>
      <x:c r="H51" s="20" t="n">
        <x:f>H50*(1-D51)^'Controls'!$F$6</x:f>
        <x:v>0.00046529287335699487</x:v>
      </x:c>
      <x:c r="I51" s="20" t="n">
        <x:f>I50*(1-E51)^'Controls'!$F$6</x:f>
        <x:v>0.00003326432648013329</x:v>
      </x:c>
      <x:c r="J51" s="20" t="n">
        <x:f>J50*(1-F51)^'Controls'!$F$6</x:f>
        <x:v>2.740728114726727e-8</x:v>
      </x:c>
      <x:c r="K51" s="20" t="n">
        <x:f>K50*(1-G51)^'Controls'!$F$6</x:f>
        <x:v>0</x:v>
      </x:c>
      <x:c r="L51" s="52" t="n">
        <x:f>'Controls'!$F$5*(H51*'Sources'!$J$49+I51*'Sources'!$J$50+J51*'Sources'!$J$51+K51*'Sources'!$J$52)</x:f>
        <x:v>1495.7538213548262</x:v>
      </x:c>
      <x:c r="M51" s="53" t="n">
        <x:f>'Curve'!M52</x:f>
        <x:v>0.10105983238525698</x:v>
      </x:c>
      <x:c r="N51" s="21" t="n">
        <x:f>L51*M51</x:f>
        <x:v>151.16063047572635</x:v>
      </x:c>
      <x:c r="O51" s="21" t="n">
        <x:f>C51*N51</x:f>
        <x:v>6953.389001883412</x:v>
      </x:c>
      <x:c r="P51" s="21" t="n">
        <x:f>C51*O51</x:f>
        <x:v>319855.89408663695</x:v>
      </x:c>
      <x:c r="Q51" s="21" t="n">
        <x:f>IF(C51&gt;30,N51,0)</x:f>
        <x:v>151.16063047572635</x:v>
      </x:c>
      <x:c r="R51" s="52" t="n">
        <x:f>O51*'Curve'!N52</x:f>
        <x:v>0</x:v>
      </x:c>
      <x:c r="S51" s="52" t="n">
        <x:f>O51*'Curve'!O52</x:f>
        <x:v>0</x:v>
      </x:c>
      <x:c r="T51" s="52" t="n">
        <x:f>O51*'Curve'!P52</x:f>
        <x:v>0</x:v>
      </x:c>
      <x:c r="U51" s="52" t="n">
        <x:f>O51*'Curve'!Q52</x:f>
        <x:v>0</x:v>
      </x:c>
      <x:c r="V51" s="52" t="n">
        <x:f>O51*'Curve'!R52</x:f>
        <x:v>6953.389001883412</x:v>
      </x:c>
      <x:c r="W51" s="52" t="n">
        <x:f>L51*'Curve'!J52</x:f>
        <x:v>151.16063047572635</x:v>
      </x:c>
    </x:row>
    <x:row r="52" ht="20" customHeight="1">
      <x:c r="A52" s="2"/>
      <x:c r="B52" s="2"/>
      <x:c r="C52" s="2" t="n">
        <x:v>47</x:v>
      </x:c>
      <x:c r="D52" s="46" t="n">
        <x:f>IF(C52+'Sources'!$I$49-1&gt;='Controls'!$F$7,1,INDEX('Sources'!$D$15:$D$134,C52+'Sources'!$I$49))</x:f>
        <x:v>0.491398</x:v>
      </x:c>
      <x:c r="E52" s="46" t="n">
        <x:f>IF(C52+'Sources'!$I$50-1&gt;='Controls'!$F$7,1,INDEX('Sources'!$E$15:$E$134,C52+'Sources'!$I$50))</x:f>
        <x:v>0.627162</x:v>
      </x:c>
      <x:c r="F52" s="46" t="n">
        <x:f>IF(C52+'Sources'!$I$51-1&gt;='Controls'!$F$7,1,INDEX('Sources'!$D$15:$D$134,C52+'Sources'!$I$51))</x:f>
        <x:v>0.800435</x:v>
      </x:c>
      <x:c r="G52" s="46" t="n">
        <x:f>IF(C52+'Sources'!$I$52-1&gt;='Controls'!$F$7,1,INDEX('Sources'!$E$15:$E$134,C52+'Sources'!$I$52))</x:f>
        <x:v>1</x:v>
      </x:c>
      <x:c r="H52" s="20" t="n">
        <x:f>H51*(1-D52)^'Controls'!$F$6</x:f>
        <x:v>0.0002366488859751143</x:v>
      </x:c>
      <x:c r="I52" s="20" t="n">
        <x:f>I51*(1-E52)^'Controls'!$F$6</x:f>
        <x:v>0.000012402204956199936</x:v>
      </x:c>
      <x:c r="J52" s="20" t="n">
        <x:f>J51*(1-F52)^'Controls'!$F$6</x:f>
        <x:v>5.4695340621543924e-9</x:v>
      </x:c>
      <x:c r="K52" s="20" t="n">
        <x:f>K51*(1-G52)^'Controls'!$F$6</x:f>
        <x:v>0</x:v>
      </x:c>
      <x:c r="L52" s="52" t="n">
        <x:f>'Controls'!$F$5*(H52*'Sources'!$J$49+I52*'Sources'!$J$50+J52*'Sources'!$J$51+K52*'Sources'!$J$52)</x:f>
        <x:v>747.1696813961291</x:v>
      </x:c>
      <x:c r="M52" s="53" t="n">
        <x:f>'Curve'!M53</x:f>
        <x:v>0.09844680648391016</x:v>
      </x:c>
      <x:c r="N52" s="21" t="n">
        <x:f>L52*M52</x:f>
        <x:v>73.55646903504953</x:v>
      </x:c>
      <x:c r="O52" s="21" t="n">
        <x:f>C52*N52</x:f>
        <x:v>3457.154044647328</x:v>
      </x:c>
      <x:c r="P52" s="21" t="n">
        <x:f>C52*O52</x:f>
        <x:v>162486.24009842443</x:v>
      </x:c>
      <x:c r="Q52" s="21" t="n">
        <x:f>IF(C52&gt;30,N52,0)</x:f>
        <x:v>73.55646903504953</x:v>
      </x:c>
      <x:c r="R52" s="52" t="n">
        <x:f>O52*'Curve'!N53</x:f>
        <x:v>0</x:v>
      </x:c>
      <x:c r="S52" s="52" t="n">
        <x:f>O52*'Curve'!O53</x:f>
        <x:v>0</x:v>
      </x:c>
      <x:c r="T52" s="52" t="n">
        <x:f>O52*'Curve'!P53</x:f>
        <x:v>0</x:v>
      </x:c>
      <x:c r="U52" s="52" t="n">
        <x:f>O52*'Curve'!Q53</x:f>
        <x:v>0</x:v>
      </x:c>
      <x:c r="V52" s="52" t="n">
        <x:f>O52*'Curve'!R53</x:f>
        <x:v>3457.154044647328</x:v>
      </x:c>
      <x:c r="W52" s="52" t="n">
        <x:f>L52*'Curve'!J53</x:f>
        <x:v>73.55646903504953</x:v>
      </x:c>
    </x:row>
    <x:row r="53" ht="20" customHeight="1">
      <x:c r="A53" s="2"/>
      <x:c r="B53" s="2"/>
      <x:c r="C53" s="2" t="n">
        <x:v>48</x:v>
      </x:c>
      <x:c r="D53" s="46" t="n">
        <x:f>IF(C53+'Sources'!$I$49-1&gt;='Controls'!$F$7,1,INDEX('Sources'!$D$15:$D$134,C53+'Sources'!$I$49))</x:f>
        <x:v>0.515968</x:v>
      </x:c>
      <x:c r="E53" s="46" t="n">
        <x:f>IF(C53+'Sources'!$I$50-1&gt;='Controls'!$F$7,1,INDEX('Sources'!$E$15:$E$134,C53+'Sources'!$I$50))</x:f>
        <x:v>0.65852</x:v>
      </x:c>
      <x:c r="F53" s="46" t="n">
        <x:f>IF(C53+'Sources'!$I$51-1&gt;='Controls'!$F$7,1,INDEX('Sources'!$D$15:$D$134,C53+'Sources'!$I$51))</x:f>
        <x:v>0.840457</x:v>
      </x:c>
      <x:c r="G53" s="46" t="n">
        <x:f>IF(C53+'Sources'!$I$52-1&gt;='Controls'!$F$7,1,INDEX('Sources'!$E$15:$E$134,C53+'Sources'!$I$52))</x:f>
        <x:v>1</x:v>
      </x:c>
      <x:c r="H53" s="20" t="n">
        <x:f>H52*(1-D53)^'Controls'!$F$6</x:f>
        <x:v>0.00011454563357630653</x:v>
      </x:c>
      <x:c r="I53" s="20" t="n">
        <x:f>I52*(1-E53)^'Controls'!$F$6</x:f>
        <x:v>0.000004235104948443154</x:v>
      </x:c>
      <x:c r="J53" s="20" t="n">
        <x:f>J52*(1-F53)^'Controls'!$F$6</x:f>
        <x:v>8.726258728782982e-10</x:v>
      </x:c>
      <x:c r="K53" s="20" t="n">
        <x:f>K52*(1-G53)^'Controls'!$F$6</x:f>
        <x:v>0</x:v>
      </x:c>
      <x:c r="L53" s="52" t="n">
        <x:f>'Controls'!$F$5*(H53*'Sources'!$J$49+I53*'Sources'!$J$50+J53*'Sources'!$J$51+K53*'Sources'!$J$52)</x:f>
        <x:v>356.3448334518677</x:v>
      </x:c>
      <x:c r="M53" s="53" t="n">
        <x:f>'Curve'!M54</x:f>
        <x:v>0.09600570404395972</x:v>
      </x:c>
      <x:c r="N53" s="21" t="n">
        <x:f>L53*M53</x:f>
        <x:v>34.21113661797413</x:v>
      </x:c>
      <x:c r="O53" s="21" t="n">
        <x:f>C53*N53</x:f>
        <x:v>1642.1345576627582</x:v>
      </x:c>
      <x:c r="P53" s="21" t="n">
        <x:f>C53*O53</x:f>
        <x:v>78822.4587678124</x:v>
      </x:c>
      <x:c r="Q53" s="21" t="n">
        <x:f>IF(C53&gt;30,N53,0)</x:f>
        <x:v>34.21113661797413</x:v>
      </x:c>
      <x:c r="R53" s="52" t="n">
        <x:f>O53*'Curve'!N54</x:f>
        <x:v>0</x:v>
      </x:c>
      <x:c r="S53" s="52" t="n">
        <x:f>O53*'Curve'!O54</x:f>
        <x:v>0</x:v>
      </x:c>
      <x:c r="T53" s="52" t="n">
        <x:f>O53*'Curve'!P54</x:f>
        <x:v>0</x:v>
      </x:c>
      <x:c r="U53" s="52" t="n">
        <x:f>O53*'Curve'!Q54</x:f>
        <x:v>0</x:v>
      </x:c>
      <x:c r="V53" s="52" t="n">
        <x:f>O53*'Curve'!R54</x:f>
        <x:v>1642.1345576627582</x:v>
      </x:c>
      <x:c r="W53" s="52" t="n">
        <x:f>L53*'Curve'!J54</x:f>
        <x:v>34.21113661797413</x:v>
      </x:c>
    </x:row>
    <x:row r="54" ht="20" customHeight="1">
      <x:c r="A54" s="2"/>
      <x:c r="B54" s="2"/>
      <x:c r="C54" s="2" t="n">
        <x:v>49</x:v>
      </x:c>
      <x:c r="D54" s="46" t="n">
        <x:f>IF(C54+'Sources'!$I$49-1&gt;='Controls'!$F$7,1,INDEX('Sources'!$D$15:$D$134,C54+'Sources'!$I$49))</x:f>
        <x:v>0.541766</x:v>
      </x:c>
      <x:c r="E54" s="46" t="n">
        <x:f>IF(C54+'Sources'!$I$50-1&gt;='Controls'!$F$7,1,INDEX('Sources'!$E$15:$E$134,C54+'Sources'!$I$50))</x:f>
        <x:v>0.691446</x:v>
      </x:c>
      <x:c r="F54" s="46" t="n">
        <x:f>IF(C54+'Sources'!$I$51-1&gt;='Controls'!$F$7,1,INDEX('Sources'!$D$15:$D$134,C54+'Sources'!$I$51))</x:f>
        <x:v>0.88248</x:v>
      </x:c>
      <x:c r="G54" s="46" t="n">
        <x:f>IF(C54+'Sources'!$I$52-1&gt;='Controls'!$F$7,1,INDEX('Sources'!$E$15:$E$134,C54+'Sources'!$I$52))</x:f>
        <x:v>1</x:v>
      </x:c>
      <x:c r="H54" s="20" t="n">
        <x:f>H53*(1-D54)^'Controls'!$F$6</x:f>
        <x:v>0.00005248870385620525</x:v>
      </x:c>
      <x:c r="I54" s="20" t="n">
        <x:f>I53*(1-E54)^'Controls'!$F$6</x:f>
        <x:v>0.000001306758572261929</x:v>
      </x:c>
      <x:c r="J54" s="20" t="n">
        <x:f>J53*(1-F54)^'Controls'!$F$6</x:f>
        <x:v>1.0255099258065757e-10</x:v>
      </x:c>
      <x:c r="K54" s="20" t="n">
        <x:f>K53*(1-G54)^'Controls'!$F$6</x:f>
        <x:v>0</x:v>
      </x:c>
      <x:c r="L54" s="52" t="n">
        <x:f>'Controls'!$F$5*(H54*'Sources'!$J$49+I54*'Sources'!$J$50+J54*'Sources'!$J$51+K54*'Sources'!$J$52)</x:f>
        <x:v>161.3866949383793</x:v>
      </x:c>
      <x:c r="M54" s="53" t="n">
        <x:f>'Curve'!M55</x:f>
        <x:v>0.09372378278936265</x:v>
      </x:c>
      <x:c r="N54" s="21" t="n">
        <x:f>L54*M54</x:f>
        <x:v>15.125771541497793</x:v>
      </x:c>
      <x:c r="O54" s="21" t="n">
        <x:f>C54*N54</x:f>
        <x:v>741.1628055333919</x:v>
      </x:c>
      <x:c r="P54" s="21" t="n">
        <x:f>C54*O54</x:f>
        <x:v>36316.977471136204</x:v>
      </x:c>
      <x:c r="Q54" s="21" t="n">
        <x:f>IF(C54&gt;30,N54,0)</x:f>
        <x:v>15.125771541497793</x:v>
      </x:c>
      <x:c r="R54" s="52" t="n">
        <x:f>O54*'Curve'!N55</x:f>
        <x:v>0</x:v>
      </x:c>
      <x:c r="S54" s="52" t="n">
        <x:f>O54*'Curve'!O55</x:f>
        <x:v>0</x:v>
      </x:c>
      <x:c r="T54" s="52" t="n">
        <x:f>O54*'Curve'!P55</x:f>
        <x:v>0</x:v>
      </x:c>
      <x:c r="U54" s="52" t="n">
        <x:f>O54*'Curve'!Q55</x:f>
        <x:v>0</x:v>
      </x:c>
      <x:c r="V54" s="52" t="n">
        <x:f>O54*'Curve'!R55</x:f>
        <x:v>741.1628055333919</x:v>
      </x:c>
      <x:c r="W54" s="52" t="n">
        <x:f>L54*'Curve'!J55</x:f>
        <x:v>15.125771541497793</x:v>
      </x:c>
    </x:row>
    <x:row r="55" ht="20" customHeight="1">
      <x:c r="A55" s="2"/>
      <x:c r="B55" s="2"/>
      <x:c r="C55" s="2" t="n">
        <x:v>50</x:v>
      </x:c>
      <x:c r="D55" s="46" t="n">
        <x:f>IF(C55+'Sources'!$I$49-1&gt;='Controls'!$F$7,1,INDEX('Sources'!$D$15:$D$134,C55+'Sources'!$I$49))</x:f>
        <x:v>0.568854</x:v>
      </x:c>
      <x:c r="E55" s="46" t="n">
        <x:f>IF(C55+'Sources'!$I$50-1&gt;='Controls'!$F$7,1,INDEX('Sources'!$E$15:$E$134,C55+'Sources'!$I$50))</x:f>
        <x:v>0.726018</x:v>
      </x:c>
      <x:c r="F55" s="46" t="n">
        <x:f>IF(C55+'Sources'!$I$51-1&gt;='Controls'!$F$7,1,INDEX('Sources'!$D$15:$D$134,C55+'Sources'!$I$51))</x:f>
        <x:v>0.926604</x:v>
      </x:c>
      <x:c r="G55" s="46" t="n">
        <x:f>IF(C55+'Sources'!$I$52-1&gt;='Controls'!$F$7,1,INDEX('Sources'!$E$15:$E$134,C55+'Sources'!$I$52))</x:f>
        <x:v>1</x:v>
      </x:c>
      <x:c r="H55" s="20" t="n">
        <x:f>H54*(1-D55)^'Controls'!$F$6</x:f>
        <x:v>0.00002263029471278747</x:v>
      </x:c>
      <x:c r="I55" s="20" t="n">
        <x:f>I54*(1-E55)^'Controls'!$F$6</x:f>
        <x:v>3.580283271454678e-7</x:v>
      </x:c>
      <x:c r="J55" s="20" t="n">
        <x:f>J54*(1-F55)^'Controls'!$F$6</x:f>
        <x:v>7.526832651449945e-12</x:v>
      </x:c>
      <x:c r="K55" s="20" t="n">
        <x:f>K54*(1-G55)^'Controls'!$F$6</x:f>
        <x:v>0</x:v>
      </x:c>
      <x:c r="L55" s="52" t="n">
        <x:f>'Controls'!$F$5*(H55*'Sources'!$J$49+I55*'Sources'!$J$50+J55*'Sources'!$J$51+K55*'Sources'!$J$52)</x:f>
        <x:v>68.96499170029676</x:v>
      </x:c>
      <x:c r="M55" s="53" t="n">
        <x:f>'Curve'!M56</x:f>
        <x:v>0.0915893594248313</x:v>
      </x:c>
      <x:c r="N55" s="21" t="n">
        <x:f>L55*M55</x:f>
        <x:v>6.316459412568988</x:v>
      </x:c>
      <x:c r="O55" s="21" t="n">
        <x:f>C55*N55</x:f>
        <x:v>315.8229706284494</x:v>
      </x:c>
      <x:c r="P55" s="21" t="n">
        <x:f>C55*O55</x:f>
        <x:v>15791.14853142247</x:v>
      </x:c>
      <x:c r="Q55" s="21" t="n">
        <x:f>IF(C55&gt;30,N55,0)</x:f>
        <x:v>6.316459412568988</x:v>
      </x:c>
      <x:c r="R55" s="52" t="n">
        <x:f>O55*'Curve'!N56</x:f>
        <x:v>0</x:v>
      </x:c>
      <x:c r="S55" s="52" t="n">
        <x:f>O55*'Curve'!O56</x:f>
        <x:v>0</x:v>
      </x:c>
      <x:c r="T55" s="52" t="n">
        <x:f>O55*'Curve'!P56</x:f>
        <x:v>0</x:v>
      </x:c>
      <x:c r="U55" s="52" t="n">
        <x:f>O55*'Curve'!Q56</x:f>
        <x:v>0</x:v>
      </x:c>
      <x:c r="V55" s="52" t="n">
        <x:f>O55*'Curve'!R56</x:f>
        <x:v>315.8229706284494</x:v>
      </x:c>
      <x:c r="W55" s="52" t="n">
        <x:f>L55*'Curve'!J56</x:f>
        <x:v>6.316459412568988</x:v>
      </x:c>
    </x:row>
    <x:row r="56" ht="20" customHeight="1">
      <x:c r="A56" s="2"/>
      <x:c r="B56" s="2"/>
      <x:c r="C56" s="2" t="n">
        <x:v>51</x:v>
      </x:c>
      <x:c r="D56" s="46" t="n">
        <x:f>IF(C56+'Sources'!$I$49-1&gt;='Controls'!$F$7,1,INDEX('Sources'!$D$15:$D$134,C56+'Sources'!$I$49))</x:f>
        <x:v>0.597297</x:v>
      </x:c>
      <x:c r="E56" s="46" t="n">
        <x:f>IF(C56+'Sources'!$I$50-1&gt;='Controls'!$F$7,1,INDEX('Sources'!$E$15:$E$134,C56+'Sources'!$I$50))</x:f>
        <x:v>0.762319</x:v>
      </x:c>
      <x:c r="F56" s="46" t="n">
        <x:f>IF(C56+'Sources'!$I$51-1&gt;='Controls'!$F$7,1,INDEX('Sources'!$D$15:$D$134,C56+'Sources'!$I$51))</x:f>
        <x:v>1</x:v>
      </x:c>
      <x:c r="G56" s="46" t="n">
        <x:f>IF(C56+'Sources'!$I$52-1&gt;='Controls'!$F$7,1,INDEX('Sources'!$E$15:$E$134,C56+'Sources'!$I$52))</x:f>
        <x:v>1</x:v>
      </x:c>
      <x:c r="H56" s="20" t="n">
        <x:f>H55*(1-D56)^'Controls'!$F$6</x:f>
        <x:v>0.000009113287571723654</x:v>
      </x:c>
      <x:c r="I56" s="20" t="n">
        <x:f>I55*(1-E56)^'Controls'!$F$6</x:f>
        <x:v>8.509653082426195e-8</x:v>
      </x:c>
      <x:c r="J56" s="20" t="n">
        <x:f>J55*(1-F56)^'Controls'!$F$6</x:f>
        <x:v>0</x:v>
      </x:c>
      <x:c r="K56" s="20" t="n">
        <x:f>K55*(1-G56)^'Controls'!$F$6</x:f>
        <x:v>0</x:v>
      </x:c>
      <x:c r="L56" s="52" t="n">
        <x:f>'Controls'!$F$5*(H56*'Sources'!$J$49+I56*'Sources'!$J$50+J56*'Sources'!$J$51+K56*'Sources'!$J$52)</x:f>
        <x:v>27.59515230764375</x:v>
      </x:c>
      <x:c r="M56" s="53" t="n">
        <x:f>'Curve'!M57</x:f>
        <x:v>0.08959171470279191</x:v>
      </x:c>
      <x:c r="N56" s="21" t="n">
        <x:f>L56*M56</x:f>
        <x:v>2.472297012726509</x:v>
      </x:c>
      <x:c r="O56" s="21" t="n">
        <x:f>C56*N56</x:f>
        <x:v>126.08714764905196</x:v>
      </x:c>
      <x:c r="P56" s="21" t="n">
        <x:f>C56*O56</x:f>
        <x:v>6430.444530101649</x:v>
      </x:c>
      <x:c r="Q56" s="21" t="n">
        <x:f>IF(C56&gt;30,N56,0)</x:f>
        <x:v>2.472297012726509</x:v>
      </x:c>
      <x:c r="R56" s="52" t="n">
        <x:f>O56*'Curve'!N57</x:f>
        <x:v>0</x:v>
      </x:c>
      <x:c r="S56" s="52" t="n">
        <x:f>O56*'Curve'!O57</x:f>
        <x:v>0</x:v>
      </x:c>
      <x:c r="T56" s="52" t="n">
        <x:f>O56*'Curve'!P57</x:f>
        <x:v>0</x:v>
      </x:c>
      <x:c r="U56" s="52" t="n">
        <x:f>O56*'Curve'!Q57</x:f>
        <x:v>0</x:v>
      </x:c>
      <x:c r="V56" s="52" t="n">
        <x:f>O56*'Curve'!R57</x:f>
        <x:v>126.08714764905196</x:v>
      </x:c>
      <x:c r="W56" s="52" t="n">
        <x:f>L56*'Curve'!J57</x:f>
        <x:v>2.472297012726509</x:v>
      </x:c>
    </x:row>
    <x:row r="57" ht="20" customHeight="1">
      <x:c r="A57" s="2"/>
      <x:c r="B57" s="2"/>
      <x:c r="C57" s="2" t="n">
        <x:v>52</x:v>
      </x:c>
      <x:c r="D57" s="46" t="n">
        <x:f>IF(C57+'Sources'!$I$49-1&gt;='Controls'!$F$7,1,INDEX('Sources'!$D$15:$D$134,C57+'Sources'!$I$49))</x:f>
        <x:v>0.627162</x:v>
      </x:c>
      <x:c r="E57" s="46" t="n">
        <x:f>IF(C57+'Sources'!$I$50-1&gt;='Controls'!$F$7,1,INDEX('Sources'!$E$15:$E$134,C57+'Sources'!$I$50))</x:f>
        <x:v>0.800435</x:v>
      </x:c>
      <x:c r="F57" s="46" t="n">
        <x:f>IF(C57+'Sources'!$I$51-1&gt;='Controls'!$F$7,1,INDEX('Sources'!$D$15:$D$134,C57+'Sources'!$I$51))</x:f>
        <x:v>1</x:v>
      </x:c>
      <x:c r="G57" s="46" t="n">
        <x:f>IF(C57+'Sources'!$I$52-1&gt;='Controls'!$F$7,1,INDEX('Sources'!$E$15:$E$134,C57+'Sources'!$I$52))</x:f>
        <x:v>1</x:v>
      </x:c>
      <x:c r="H57" s="20" t="n">
        <x:f>H56*(1-D57)^'Controls'!$F$6</x:f>
        <x:v>0.0000033977799116663036</x:v>
      </x:c>
      <x:c r="I57" s="20" t="n">
        <x:f>I56*(1-E57)^'Controls'!$F$6</x:f>
        <x:v>1.6982289173943836e-8</x:v>
      </x:c>
      <x:c r="J57" s="20" t="n">
        <x:f>J56*(1-F57)^'Controls'!$F$6</x:f>
        <x:v>0</x:v>
      </x:c>
      <x:c r="K57" s="20" t="n">
        <x:f>K56*(1-G57)^'Controls'!$F$6</x:f>
        <x:v>0</x:v>
      </x:c>
      <x:c r="L57" s="52" t="n">
        <x:f>'Controls'!$F$5*(H57*'Sources'!$J$49+I57*'Sources'!$J$50+J57*'Sources'!$J$51+K57*'Sources'!$J$52)</x:f>
        <x:v>10.244286602520743</x:v>
      </x:c>
      <x:c r="M57" s="53" t="n">
        <x:f>'Curve'!M58</x:f>
        <x:v>0.08772100711094133</x:v>
      </x:c>
      <x:c r="N57" s="21" t="n">
        <x:f>L57*M57</x:f>
        <x:v>0.8986391379062432</x:v>
      </x:c>
      <x:c r="O57" s="21" t="n">
        <x:f>C57*N57</x:f>
        <x:v>46.72923517112464</x:v>
      </x:c>
      <x:c r="P57" s="21" t="n">
        <x:f>C57*O57</x:f>
        <x:v>2429.9202288984816</x:v>
      </x:c>
      <x:c r="Q57" s="21" t="n">
        <x:f>IF(C57&gt;30,N57,0)</x:f>
        <x:v>0.8986391379062432</x:v>
      </x:c>
      <x:c r="R57" s="52" t="n">
        <x:f>O57*'Curve'!N58</x:f>
        <x:v>0</x:v>
      </x:c>
      <x:c r="S57" s="52" t="n">
        <x:f>O57*'Curve'!O58</x:f>
        <x:v>0</x:v>
      </x:c>
      <x:c r="T57" s="52" t="n">
        <x:f>O57*'Curve'!P58</x:f>
        <x:v>0</x:v>
      </x:c>
      <x:c r="U57" s="52" t="n">
        <x:f>O57*'Curve'!Q58</x:f>
        <x:v>0</x:v>
      </x:c>
      <x:c r="V57" s="52" t="n">
        <x:f>O57*'Curve'!R58</x:f>
        <x:v>46.72923517112464</x:v>
      </x:c>
      <x:c r="W57" s="52" t="n">
        <x:f>L57*'Curve'!J58</x:f>
        <x:v>0.8986391379062432</x:v>
      </x:c>
    </x:row>
    <x:row r="58" ht="20" customHeight="1">
      <x:c r="A58" s="2"/>
      <x:c r="B58" s="2"/>
      <x:c r="C58" s="2" t="n">
        <x:v>53</x:v>
      </x:c>
      <x:c r="D58" s="46" t="n">
        <x:f>IF(C58+'Sources'!$I$49-1&gt;='Controls'!$F$7,1,INDEX('Sources'!$D$15:$D$134,C58+'Sources'!$I$49))</x:f>
        <x:v>0.65852</x:v>
      </x:c>
      <x:c r="E58" s="46" t="n">
        <x:f>IF(C58+'Sources'!$I$50-1&gt;='Controls'!$F$7,1,INDEX('Sources'!$E$15:$E$134,C58+'Sources'!$I$50))</x:f>
        <x:v>0.840457</x:v>
      </x:c>
      <x:c r="F58" s="46" t="n">
        <x:f>IF(C58+'Sources'!$I$51-1&gt;='Controls'!$F$7,1,INDEX('Sources'!$D$15:$D$134,C58+'Sources'!$I$51))</x:f>
        <x:v>1</x:v>
      </x:c>
      <x:c r="G58" s="46" t="n">
        <x:f>IF(C58+'Sources'!$I$52-1&gt;='Controls'!$F$7,1,INDEX('Sources'!$E$15:$E$134,C58+'Sources'!$I$52))</x:f>
        <x:v>1</x:v>
      </x:c>
      <x:c r="H58" s="20" t="n">
        <x:f>H57*(1-D58)^'Controls'!$F$6</x:f>
        <x:v>0.0000011602738842358094</x:v>
      </x:c>
      <x:c r="I58" s="20" t="n">
        <x:f>I57*(1-E58)^'Controls'!$F$6</x:f>
        <x:v>2.709405361678521e-9</x:v>
      </x:c>
      <x:c r="J58" s="20" t="n">
        <x:f>J57*(1-F58)^'Controls'!$F$6</x:f>
        <x:v>0</x:v>
      </x:c>
      <x:c r="K58" s="20" t="n">
        <x:f>K57*(1-G58)^'Controls'!$F$6</x:f>
        <x:v>0</x:v>
      </x:c>
      <x:c r="L58" s="52" t="n">
        <x:f>'Controls'!$F$5*(H58*'Sources'!$J$49+I58*'Sources'!$J$50+J58*'Sources'!$J$51+K58*'Sources'!$J$52)</x:f>
        <x:v>3.488949868792464</x:v>
      </x:c>
      <x:c r="M58" s="53" t="n">
        <x:f>'Curve'!M59</x:f>
        <x:v>0.08596819446925037</x:v>
      </x:c>
      <x:c r="N58" s="21" t="n">
        <x:f>L58*M58</x:f>
        <x:v>0.2999387208138161</x:v>
      </x:c>
      <x:c r="O58" s="21" t="n">
        <x:f>C58*N58</x:f>
        <x:v>15.896752203132253</x:v>
      </x:c>
      <x:c r="P58" s="21" t="n">
        <x:f>C58*O58</x:f>
        <x:v>842.5278667660094</x:v>
      </x:c>
      <x:c r="Q58" s="21" t="n">
        <x:f>IF(C58&gt;30,N58,0)</x:f>
        <x:v>0.2999387208138161</x:v>
      </x:c>
      <x:c r="R58" s="52" t="n">
        <x:f>O58*'Curve'!N59</x:f>
        <x:v>0</x:v>
      </x:c>
      <x:c r="S58" s="52" t="n">
        <x:f>O58*'Curve'!O59</x:f>
        <x:v>0</x:v>
      </x:c>
      <x:c r="T58" s="52" t="n">
        <x:f>O58*'Curve'!P59</x:f>
        <x:v>0</x:v>
      </x:c>
      <x:c r="U58" s="52" t="n">
        <x:f>O58*'Curve'!Q59</x:f>
        <x:v>0</x:v>
      </x:c>
      <x:c r="V58" s="52" t="n">
        <x:f>O58*'Curve'!R59</x:f>
        <x:v>15.896752203132253</x:v>
      </x:c>
      <x:c r="W58" s="52" t="n">
        <x:f>L58*'Curve'!J59</x:f>
        <x:v>0.2999387208138161</x:v>
      </x:c>
    </x:row>
    <x:row r="59" ht="20" customHeight="1">
      <x:c r="A59" s="2"/>
      <x:c r="B59" s="2"/>
      <x:c r="C59" s="2" t="n">
        <x:v>54</x:v>
      </x:c>
      <x:c r="D59" s="46" t="n">
        <x:f>IF(C59+'Sources'!$I$49-1&gt;='Controls'!$F$7,1,INDEX('Sources'!$D$15:$D$134,C59+'Sources'!$I$49))</x:f>
        <x:v>0.691446</x:v>
      </x:c>
      <x:c r="E59" s="46" t="n">
        <x:f>IF(C59+'Sources'!$I$50-1&gt;='Controls'!$F$7,1,INDEX('Sources'!$E$15:$E$134,C59+'Sources'!$I$50))</x:f>
        <x:v>0.88248</x:v>
      </x:c>
      <x:c r="F59" s="46" t="n">
        <x:f>IF(C59+'Sources'!$I$51-1&gt;='Controls'!$F$7,1,INDEX('Sources'!$D$15:$D$134,C59+'Sources'!$I$51))</x:f>
        <x:v>1</x:v>
      </x:c>
      <x:c r="G59" s="46" t="n">
        <x:f>IF(C59+'Sources'!$I$52-1&gt;='Controls'!$F$7,1,INDEX('Sources'!$E$15:$E$134,C59+'Sources'!$I$52))</x:f>
        <x:v>1</x:v>
      </x:c>
      <x:c r="H59" s="20" t="n">
        <x:f>H58*(1-D59)^'Controls'!$F$6</x:f>
        <x:v>3.580071480764959e-7</x:v>
      </x:c>
      <x:c r="I59" s="20" t="n">
        <x:f>I58*(1-E59)^'Controls'!$F$6</x:f>
        <x:v>3.184093181044597e-10</x:v>
      </x:c>
      <x:c r="J59" s="20" t="n">
        <x:f>J58*(1-F59)^'Controls'!$F$6</x:f>
        <x:v>0</x:v>
      </x:c>
      <x:c r="K59" s="20" t="n">
        <x:f>K58*(1-G59)^'Controls'!$F$6</x:f>
        <x:v>0</x:v>
      </x:c>
      <x:c r="L59" s="52" t="n">
        <x:f>'Controls'!$F$5*(H59*'Sources'!$J$49+I59*'Sources'!$J$50+J59*'Sources'!$J$51+K59*'Sources'!$J$52)</x:f>
        <x:v>1.074976672183801</x:v>
      </x:c>
      <x:c r="M59" s="53" t="n">
        <x:f>'Curve'!M60</x:f>
        <x:v>0.08432496276082349</x:v>
      </x:c>
      <x:c r="N59" s="21" t="n">
        <x:f>L59*M59</x:f>
        <x:v>0.09064736785065299</x:v>
      </x:c>
      <x:c r="O59" s="21" t="n">
        <x:f>C59*N59</x:f>
        <x:v>4.894957863935261</x:v>
      </x:c>
      <x:c r="P59" s="21" t="n">
        <x:f>C59*O59</x:f>
        <x:v>264.3277246525041</x:v>
      </x:c>
      <x:c r="Q59" s="21" t="n">
        <x:f>IF(C59&gt;30,N59,0)</x:f>
        <x:v>0.09064736785065299</x:v>
      </x:c>
      <x:c r="R59" s="52" t="n">
        <x:f>O59*'Curve'!N60</x:f>
        <x:v>0</x:v>
      </x:c>
      <x:c r="S59" s="52" t="n">
        <x:f>O59*'Curve'!O60</x:f>
        <x:v>0</x:v>
      </x:c>
      <x:c r="T59" s="52" t="n">
        <x:f>O59*'Curve'!P60</x:f>
        <x:v>0</x:v>
      </x:c>
      <x:c r="U59" s="52" t="n">
        <x:f>O59*'Curve'!Q60</x:f>
        <x:v>0</x:v>
      </x:c>
      <x:c r="V59" s="52" t="n">
        <x:f>O59*'Curve'!R60</x:f>
        <x:v>4.894957863935261</x:v>
      </x:c>
      <x:c r="W59" s="52" t="n">
        <x:f>L59*'Curve'!J60</x:f>
        <x:v>0.09064736785065299</x:v>
      </x:c>
    </x:row>
    <x:row r="60" ht="20" customHeight="1">
      <x:c r="A60" s="2"/>
      <x:c r="B60" s="2"/>
      <x:c r="C60" s="2" t="n">
        <x:v>55</x:v>
      </x:c>
      <x:c r="D60" s="46" t="n">
        <x:f>IF(C60+'Sources'!$I$49-1&gt;='Controls'!$F$7,1,INDEX('Sources'!$D$15:$D$134,C60+'Sources'!$I$49))</x:f>
        <x:v>0.726018</x:v>
      </x:c>
      <x:c r="E60" s="46" t="n">
        <x:f>IF(C60+'Sources'!$I$50-1&gt;='Controls'!$F$7,1,INDEX('Sources'!$E$15:$E$134,C60+'Sources'!$I$50))</x:f>
        <x:v>0.926604</x:v>
      </x:c>
      <x:c r="F60" s="46" t="n">
        <x:f>IF(C60+'Sources'!$I$51-1&gt;='Controls'!$F$7,1,INDEX('Sources'!$D$15:$D$134,C60+'Sources'!$I$51))</x:f>
        <x:v>1</x:v>
      </x:c>
      <x:c r="G60" s="46" t="n">
        <x:f>IF(C60+'Sources'!$I$52-1&gt;='Controls'!$F$7,1,INDEX('Sources'!$E$15:$E$134,C60+'Sources'!$I$52))</x:f>
        <x:v>1</x:v>
      </x:c>
      <x:c r="H60" s="20" t="n">
        <x:f>H59*(1-D60)^'Controls'!$F$6</x:f>
        <x:v>9.808751444429448e-8</x:v>
      </x:c>
      <x:c r="I60" s="20" t="n">
        <x:f>I59*(1-E60)^'Controls'!$F$6</x:f>
        <x:v>2.3369970311594928e-11</x:v>
      </x:c>
      <x:c r="J60" s="20" t="n">
        <x:f>J59*(1-F60)^'Controls'!$F$6</x:f>
        <x:v>0</x:v>
      </x:c>
      <x:c r="K60" s="20" t="n">
        <x:f>K59*(1-G60)^'Controls'!$F$6</x:f>
        <x:v>0</x:v>
      </x:c>
      <x:c r="L60" s="52" t="n">
        <x:f>'Controls'!$F$5*(H60*'Sources'!$J$49+I60*'Sources'!$J$50+J60*'Sources'!$J$51+K60*'Sources'!$J$52)</x:f>
        <x:v>0.29433265324381824</x:v>
      </x:c>
      <x:c r="M60" s="53" t="n">
        <x:f>'Curve'!M61</x:f>
        <x:v>0.0827836615614426</x:v>
      </x:c>
      <x:c r="N60" s="21" t="n">
        <x:f>L60*M60</x:f>
        <x:v>0.02436593475261769</x:v>
      </x:c>
      <x:c r="O60" s="21" t="n">
        <x:f>C60*N60</x:f>
        <x:v>1.3401264113939728</x:v>
      </x:c>
      <x:c r="P60" s="21" t="n">
        <x:f>C60*O60</x:f>
        <x:v>73.70695262666851</x:v>
      </x:c>
      <x:c r="Q60" s="21" t="n">
        <x:f>IF(C60&gt;30,N60,0)</x:f>
        <x:v>0.02436593475261769</x:v>
      </x:c>
      <x:c r="R60" s="52" t="n">
        <x:f>O60*'Curve'!N61</x:f>
        <x:v>0</x:v>
      </x:c>
      <x:c r="S60" s="52" t="n">
        <x:f>O60*'Curve'!O61</x:f>
        <x:v>0</x:v>
      </x:c>
      <x:c r="T60" s="52" t="n">
        <x:f>O60*'Curve'!P61</x:f>
        <x:v>0</x:v>
      </x:c>
      <x:c r="U60" s="52" t="n">
        <x:f>O60*'Curve'!Q61</x:f>
        <x:v>0</x:v>
      </x:c>
      <x:c r="V60" s="52" t="n">
        <x:f>O60*'Curve'!R61</x:f>
        <x:v>1.3401264113939728</x:v>
      </x:c>
      <x:c r="W60" s="52" t="n">
        <x:f>L60*'Curve'!J61</x:f>
        <x:v>0.02436593475261769</x:v>
      </x:c>
    </x:row>
    <x:row r="61" ht="20" customHeight="1">
      <x:c r="A61" s="2"/>
      <x:c r="B61" s="2"/>
      <x:c r="C61" s="2" t="n">
        <x:v>56</x:v>
      </x:c>
      <x:c r="D61" s="46" t="n">
        <x:f>IF(C61+'Sources'!$I$49-1&gt;='Controls'!$F$7,1,INDEX('Sources'!$D$15:$D$134,C61+'Sources'!$I$49))</x:f>
        <x:v>0.762319</x:v>
      </x:c>
      <x:c r="E61" s="46" t="n">
        <x:f>IF(C61+'Sources'!$I$50-1&gt;='Controls'!$F$7,1,INDEX('Sources'!$E$15:$E$134,C61+'Sources'!$I$50))</x:f>
        <x:v>1</x:v>
      </x:c>
      <x:c r="F61" s="46" t="n">
        <x:f>IF(C61+'Sources'!$I$51-1&gt;='Controls'!$F$7,1,INDEX('Sources'!$D$15:$D$134,C61+'Sources'!$I$51))</x:f>
        <x:v>1</x:v>
      </x:c>
      <x:c r="G61" s="46" t="n">
        <x:f>IF(C61+'Sources'!$I$52-1&gt;='Controls'!$F$7,1,INDEX('Sources'!$E$15:$E$134,C61+'Sources'!$I$52))</x:f>
        <x:v>1</x:v>
      </x:c>
      <x:c r="H61" s="20" t="n">
        <x:f>H60*(1-D61)^'Controls'!$F$6</x:f>
        <x:v>2.3313538520634358e-8</x:v>
      </x:c>
      <x:c r="I61" s="20" t="n">
        <x:f>I60*(1-E61)^'Controls'!$F$6</x:f>
        <x:v>0</x:v>
      </x:c>
      <x:c r="J61" s="20" t="n">
        <x:f>J60*(1-F61)^'Controls'!$F$6</x:f>
        <x:v>0</x:v>
      </x:c>
      <x:c r="K61" s="20" t="n">
        <x:f>K60*(1-G61)^'Controls'!$F$6</x:f>
        <x:v>0</x:v>
      </x:c>
      <x:c r="L61" s="52" t="n">
        <x:f>'Controls'!$F$5*(H61*'Sources'!$J$49+I61*'Sources'!$J$50+J61*'Sources'!$J$51+K61*'Sources'!$J$52)</x:f>
        <x:v>0.06994061556190308</x:v>
      </x:c>
      <x:c r="M61" s="53" t="n">
        <x:f>'Curve'!M62</x:f>
        <x:v>0.08133724547551699</x:v>
      </x:c>
      <x:c r="N61" s="21" t="n">
        <x:f>L61*M61</x:f>
        <x:v>0.005688777016667274</x:v>
      </x:c>
      <x:c r="O61" s="21" t="n">
        <x:f>C61*N61</x:f>
        <x:v>0.3185715129333674</x:v>
      </x:c>
      <x:c r="P61" s="21" t="n">
        <x:f>C61*O61</x:f>
        <x:v>17.840004724268574</x:v>
      </x:c>
      <x:c r="Q61" s="21" t="n">
        <x:f>IF(C61&gt;30,N61,0)</x:f>
        <x:v>0.005688777016667274</x:v>
      </x:c>
      <x:c r="R61" s="52" t="n">
        <x:f>O61*'Curve'!N62</x:f>
        <x:v>0</x:v>
      </x:c>
      <x:c r="S61" s="52" t="n">
        <x:f>O61*'Curve'!O62</x:f>
        <x:v>0</x:v>
      </x:c>
      <x:c r="T61" s="52" t="n">
        <x:f>O61*'Curve'!P62</x:f>
        <x:v>0</x:v>
      </x:c>
      <x:c r="U61" s="52" t="n">
        <x:f>O61*'Curve'!Q62</x:f>
        <x:v>0</x:v>
      </x:c>
      <x:c r="V61" s="52" t="n">
        <x:f>O61*'Curve'!R62</x:f>
        <x:v>0.3185715129333674</x:v>
      </x:c>
      <x:c r="W61" s="52" t="n">
        <x:f>L61*'Curve'!J62</x:f>
        <x:v>0.005688777016667274</x:v>
      </x:c>
    </x:row>
    <x:row r="62" ht="20" customHeight="1">
      <x:c r="A62" s="2"/>
      <x:c r="B62" s="2"/>
      <x:c r="C62" s="2" t="n">
        <x:v>57</x:v>
      </x:c>
      <x:c r="D62" s="46" t="n">
        <x:f>IF(C62+'Sources'!$I$49-1&gt;='Controls'!$F$7,1,INDEX('Sources'!$D$15:$D$134,C62+'Sources'!$I$49))</x:f>
        <x:v>0.800435</x:v>
      </x:c>
      <x:c r="E62" s="46" t="n">
        <x:f>IF(C62+'Sources'!$I$50-1&gt;='Controls'!$F$7,1,INDEX('Sources'!$E$15:$E$134,C62+'Sources'!$I$50))</x:f>
        <x:v>1</x:v>
      </x:c>
      <x:c r="F62" s="46" t="n">
        <x:f>IF(C62+'Sources'!$I$51-1&gt;='Controls'!$F$7,1,INDEX('Sources'!$D$15:$D$134,C62+'Sources'!$I$51))</x:f>
        <x:v>1</x:v>
      </x:c>
      <x:c r="G62" s="46" t="n">
        <x:f>IF(C62+'Sources'!$I$52-1&gt;='Controls'!$F$7,1,INDEX('Sources'!$E$15:$E$134,C62+'Sources'!$I$52))</x:f>
        <x:v>1</x:v>
      </x:c>
      <x:c r="H62" s="20" t="n">
        <x:f>H61*(1-D62)^'Controls'!$F$6</x:f>
        <x:v>4.652566314870396e-9</x:v>
      </x:c>
      <x:c r="I62" s="20" t="n">
        <x:f>I61*(1-E62)^'Controls'!$F$6</x:f>
        <x:v>0</x:v>
      </x:c>
      <x:c r="J62" s="20" t="n">
        <x:f>J61*(1-F62)^'Controls'!$F$6</x:f>
        <x:v>0</x:v>
      </x:c>
      <x:c r="K62" s="20" t="n">
        <x:f>K61*(1-G62)^'Controls'!$F$6</x:f>
        <x:v>0</x:v>
      </x:c>
      <x:c r="L62" s="52" t="n">
        <x:f>'Controls'!$F$5*(H62*'Sources'!$J$49+I62*'Sources'!$J$50+J62*'Sources'!$J$51+K62*'Sources'!$J$52)</x:f>
        <x:v>0.013957698944611187</x:v>
      </x:c>
      <x:c r="M62" s="53" t="n">
        <x:f>'Curve'!M63</x:f>
        <x:v>0.07997922102976712</x:v>
      </x:c>
      <x:c r="N62" s="21" t="n">
        <x:f>L62*M62</x:f>
        <x:v>0.0011163258889580053</x:v>
      </x:c>
      <x:c r="O62" s="21" t="n">
        <x:f>C62*N62</x:f>
        <x:v>0.0636305756706063</x:v>
      </x:c>
      <x:c r="P62" s="21" t="n">
        <x:f>C62*O62</x:f>
        <x:v>3.6269428132245594</x:v>
      </x:c>
      <x:c r="Q62" s="21" t="n">
        <x:f>IF(C62&gt;30,N62,0)</x:f>
        <x:v>0.0011163258889580053</x:v>
      </x:c>
      <x:c r="R62" s="52" t="n">
        <x:f>O62*'Curve'!N63</x:f>
        <x:v>0</x:v>
      </x:c>
      <x:c r="S62" s="52" t="n">
        <x:f>O62*'Curve'!O63</x:f>
        <x:v>0</x:v>
      </x:c>
      <x:c r="T62" s="52" t="n">
        <x:f>O62*'Curve'!P63</x:f>
        <x:v>0</x:v>
      </x:c>
      <x:c r="U62" s="52" t="n">
        <x:f>O62*'Curve'!Q63</x:f>
        <x:v>0</x:v>
      </x:c>
      <x:c r="V62" s="52" t="n">
        <x:f>O62*'Curve'!R63</x:f>
        <x:v>0.0636305756706063</x:v>
      </x:c>
      <x:c r="W62" s="52" t="n">
        <x:f>L62*'Curve'!J63</x:f>
        <x:v>0.0011163258889580053</x:v>
      </x:c>
    </x:row>
    <x:row r="63" ht="20" customHeight="1">
      <x:c r="A63" s="2"/>
      <x:c r="B63" s="2"/>
      <x:c r="C63" s="2" t="n">
        <x:v>58</x:v>
      </x:c>
      <x:c r="D63" s="46" t="n">
        <x:f>IF(C63+'Sources'!$I$49-1&gt;='Controls'!$F$7,1,INDEX('Sources'!$D$15:$D$134,C63+'Sources'!$I$49))</x:f>
        <x:v>0.840457</x:v>
      </x:c>
      <x:c r="E63" s="46" t="n">
        <x:f>IF(C63+'Sources'!$I$50-1&gt;='Controls'!$F$7,1,INDEX('Sources'!$E$15:$E$134,C63+'Sources'!$I$50))</x:f>
        <x:v>1</x:v>
      </x:c>
      <x:c r="F63" s="46" t="n">
        <x:f>IF(C63+'Sources'!$I$51-1&gt;='Controls'!$F$7,1,INDEX('Sources'!$D$15:$D$134,C63+'Sources'!$I$51))</x:f>
        <x:v>1</x:v>
      </x:c>
      <x:c r="G63" s="46" t="n">
        <x:f>IF(C63+'Sources'!$I$52-1&gt;='Controls'!$F$7,1,INDEX('Sources'!$E$15:$E$134,C63+'Sources'!$I$52))</x:f>
        <x:v>1</x:v>
      </x:c>
      <x:c r="H63" s="20" t="n">
        <x:f>H62*(1-D63)^'Controls'!$F$6</x:f>
        <x:v>7.422843875733675e-10</x:v>
      </x:c>
      <x:c r="I63" s="20" t="n">
        <x:f>I62*(1-E63)^'Controls'!$F$6</x:f>
        <x:v>0</x:v>
      </x:c>
      <x:c r="J63" s="20" t="n">
        <x:f>J62*(1-F63)^'Controls'!$F$6</x:f>
        <x:v>0</x:v>
      </x:c>
      <x:c r="K63" s="20" t="n">
        <x:f>K62*(1-G63)^'Controls'!$F$6</x:f>
        <x:v>0</x:v>
      </x:c>
      <x:c r="L63" s="52" t="n">
        <x:f>'Controls'!$F$5*(H63*'Sources'!$J$49+I63*'Sources'!$J$50+J63*'Sources'!$J$51+K63*'Sources'!$J$52)</x:f>
        <x:v>0.0022268531627201026</x:v>
      </x:c>
      <x:c r="M63" s="53" t="n">
        <x:f>'Curve'!M64</x:f>
        <x:v>0.07870359851907674</x:v>
      </x:c>
      <x:c r="N63" s="21" t="n">
        <x:f>L63*M63</x:f>
        <x:v>0.00017526135727965921</x:v>
      </x:c>
      <x:c r="O63" s="21" t="n">
        <x:f>C63*N63</x:f>
        <x:v>0.010165158722220234</x:v>
      </x:c>
      <x:c r="P63" s="21" t="n">
        <x:f>C63*O63</x:f>
        <x:v>0.5895792058887735</x:v>
      </x:c>
      <x:c r="Q63" s="21" t="n">
        <x:f>IF(C63&gt;30,N63,0)</x:f>
        <x:v>0.00017526135727965921</x:v>
      </x:c>
      <x:c r="R63" s="52" t="n">
        <x:f>O63*'Curve'!N64</x:f>
        <x:v>0</x:v>
      </x:c>
      <x:c r="S63" s="52" t="n">
        <x:f>O63*'Curve'!O64</x:f>
        <x:v>0</x:v>
      </x:c>
      <x:c r="T63" s="52" t="n">
        <x:f>O63*'Curve'!P64</x:f>
        <x:v>0</x:v>
      </x:c>
      <x:c r="U63" s="52" t="n">
        <x:f>O63*'Curve'!Q64</x:f>
        <x:v>0</x:v>
      </x:c>
      <x:c r="V63" s="52" t="n">
        <x:f>O63*'Curve'!R64</x:f>
        <x:v>0.010165158722220234</x:v>
      </x:c>
      <x:c r="W63" s="52" t="n">
        <x:f>L63*'Curve'!J64</x:f>
        <x:v>0.00017526135727965921</x:v>
      </x:c>
    </x:row>
    <x:row r="64" ht="20" customHeight="1">
      <x:c r="A64" s="2"/>
      <x:c r="B64" s="2"/>
      <x:c r="C64" s="2" t="n">
        <x:v>59</x:v>
      </x:c>
      <x:c r="D64" s="46" t="n">
        <x:f>IF(C64+'Sources'!$I$49-1&gt;='Controls'!$F$7,1,INDEX('Sources'!$D$15:$D$134,C64+'Sources'!$I$49))</x:f>
        <x:v>0.88248</x:v>
      </x:c>
      <x:c r="E64" s="46" t="n">
        <x:f>IF(C64+'Sources'!$I$50-1&gt;='Controls'!$F$7,1,INDEX('Sources'!$E$15:$E$134,C64+'Sources'!$I$50))</x:f>
        <x:v>1</x:v>
      </x:c>
      <x:c r="F64" s="46" t="n">
        <x:f>IF(C64+'Sources'!$I$51-1&gt;='Controls'!$F$7,1,INDEX('Sources'!$D$15:$D$134,C64+'Sources'!$I$51))</x:f>
        <x:v>1</x:v>
      </x:c>
      <x:c r="G64" s="46" t="n">
        <x:f>IF(C64+'Sources'!$I$52-1&gt;='Controls'!$F$7,1,INDEX('Sources'!$E$15:$E$134,C64+'Sources'!$I$52))</x:f>
        <x:v>1</x:v>
      </x:c>
      <x:c r="H64" s="20" t="n">
        <x:f>H63*(1-D64)^'Controls'!$F$6</x:f>
        <x:v>8.723326122762212e-11</x:v>
      </x:c>
      <x:c r="I64" s="20" t="n">
        <x:f>I63*(1-E64)^'Controls'!$F$6</x:f>
        <x:v>0</x:v>
      </x:c>
      <x:c r="J64" s="20" t="n">
        <x:f>J63*(1-F64)^'Controls'!$F$6</x:f>
        <x:v>0</x:v>
      </x:c>
      <x:c r="K64" s="20" t="n">
        <x:f>K63*(1-G64)^'Controls'!$F$6</x:f>
        <x:v>0</x:v>
      </x:c>
      <x:c r="L64" s="52" t="n">
        <x:f>'Controls'!$F$5*(H64*'Sources'!$J$49+I64*'Sources'!$J$50+J64*'Sources'!$J$51+K64*'Sources'!$J$52)</x:f>
        <x:v>0.0002616997836828664</x:v>
      </x:c>
      <x:c r="M64" s="53" t="n">
        <x:f>'Curve'!M65</x:f>
        <x:v>0.07750484834067621</x:v>
      </x:c>
      <x:c r="N64" s="21" t="n">
        <x:f>L64*M64</x:f>
        <x:v>0.00002028300204512833</x:v>
      </x:c>
      <x:c r="O64" s="21" t="n">
        <x:f>C64*N64</x:f>
        <x:v>0.0011966971206625716</x:v>
      </x:c>
      <x:c r="P64" s="21" t="n">
        <x:f>C64*O64</x:f>
        <x:v>0.07060513011909172</x:v>
      </x:c>
      <x:c r="Q64" s="21" t="n">
        <x:f>IF(C64&gt;30,N64,0)</x:f>
        <x:v>0.00002028300204512833</x:v>
      </x:c>
      <x:c r="R64" s="52" t="n">
        <x:f>O64*'Curve'!N65</x:f>
        <x:v>0</x:v>
      </x:c>
      <x:c r="S64" s="52" t="n">
        <x:f>O64*'Curve'!O65</x:f>
        <x:v>0</x:v>
      </x:c>
      <x:c r="T64" s="52" t="n">
        <x:f>O64*'Curve'!P65</x:f>
        <x:v>0</x:v>
      </x:c>
      <x:c r="U64" s="52" t="n">
        <x:f>O64*'Curve'!Q65</x:f>
        <x:v>0</x:v>
      </x:c>
      <x:c r="V64" s="52" t="n">
        <x:f>O64*'Curve'!R65</x:f>
        <x:v>0.0011966971206625716</x:v>
      </x:c>
      <x:c r="W64" s="52" t="n">
        <x:f>L64*'Curve'!J65</x:f>
        <x:v>0.00002028300204512833</x:v>
      </x:c>
    </x:row>
    <x:row r="65" ht="20" customHeight="1">
      <x:c r="A65" s="2"/>
      <x:c r="B65" s="2"/>
      <x:c r="C65" s="2" t="n">
        <x:v>60</x:v>
      </x:c>
      <x:c r="D65" s="46" t="n">
        <x:f>IF(C65+'Sources'!$I$49-1&gt;='Controls'!$F$7,1,INDEX('Sources'!$D$15:$D$134,C65+'Sources'!$I$49))</x:f>
        <x:v>0.926604</x:v>
      </x:c>
      <x:c r="E65" s="46" t="n">
        <x:f>IF(C65+'Sources'!$I$50-1&gt;='Controls'!$F$7,1,INDEX('Sources'!$E$15:$E$134,C65+'Sources'!$I$50))</x:f>
        <x:v>1</x:v>
      </x:c>
      <x:c r="F65" s="46" t="n">
        <x:f>IF(C65+'Sources'!$I$51-1&gt;='Controls'!$F$7,1,INDEX('Sources'!$D$15:$D$134,C65+'Sources'!$I$51))</x:f>
        <x:v>1</x:v>
      </x:c>
      <x:c r="G65" s="46" t="n">
        <x:f>IF(C65+'Sources'!$I$52-1&gt;='Controls'!$F$7,1,INDEX('Sources'!$E$15:$E$134,C65+'Sources'!$I$52))</x:f>
        <x:v>1</x:v>
      </x:c>
      <x:c r="H65" s="20" t="n">
        <x:f>H64*(1-D65)^'Controls'!$F$6</x:f>
        <x:v>6.402572441062555e-12</x:v>
      </x:c>
      <x:c r="I65" s="20" t="n">
        <x:f>I64*(1-E65)^'Controls'!$F$6</x:f>
        <x:v>0</x:v>
      </x:c>
      <x:c r="J65" s="20" t="n">
        <x:f>J64*(1-F65)^'Controls'!$F$6</x:f>
        <x:v>0</x:v>
      </x:c>
      <x:c r="K65" s="20" t="n">
        <x:f>K64*(1-G65)^'Controls'!$F$6</x:f>
        <x:v>0</x:v>
      </x:c>
      <x:c r="L65" s="52" t="n">
        <x:f>'Controls'!$F$5*(H65*'Sources'!$J$49+I65*'Sources'!$J$50+J65*'Sources'!$J$51+K65*'Sources'!$J$52)</x:f>
        <x:v>0.000019207717323187663</x:v>
      </x:c>
      <x:c r="M65" s="53" t="n">
        <x:f>'Curve'!M66</x:f>
        <x:v>0.0763778613926216</x:v>
      </x:c>
      <x:c r="N65" s="21" t="n">
        <x:f>L65*M65</x:f>
        <x:v>0.0000014670443713790839</x:v>
      </x:c>
      <x:c r="O65" s="21" t="n">
        <x:f>C65*N65</x:f>
        <x:v>0.00008802266228274504</x:v>
      </x:c>
      <x:c r="P65" s="21" t="n">
        <x:f>C65*O65</x:f>
        <x:v>0.005281359736964702</x:v>
      </x:c>
      <x:c r="Q65" s="21" t="n">
        <x:f>IF(C65&gt;30,N65,0)</x:f>
        <x:v>0.0000014670443713790839</x:v>
      </x:c>
      <x:c r="R65" s="52" t="n">
        <x:f>O65*'Curve'!N66</x:f>
        <x:v>0</x:v>
      </x:c>
      <x:c r="S65" s="52" t="n">
        <x:f>O65*'Curve'!O66</x:f>
        <x:v>0</x:v>
      </x:c>
      <x:c r="T65" s="52" t="n">
        <x:f>O65*'Curve'!P66</x:f>
        <x:v>0</x:v>
      </x:c>
      <x:c r="U65" s="52" t="n">
        <x:f>O65*'Curve'!Q66</x:f>
        <x:v>0</x:v>
      </x:c>
      <x:c r="V65" s="52" t="n">
        <x:f>O65*'Curve'!R66</x:f>
        <x:v>0.00008802266228274504</x:v>
      </x:c>
      <x:c r="W65" s="52" t="n">
        <x:f>L65*'Curve'!J66</x:f>
        <x:v>0.0000014670443713790839</x:v>
      </x:c>
    </x:row>
    <x:row r="66" ht="20" customHeight="1">
      <x:c r="A66" s="2"/>
      <x:c r="B66" s="2"/>
      <x:c r="C66" s="2" t="n">
        <x:v>61</x:v>
      </x:c>
      <x:c r="D66" s="46" t="n">
        <x:f>IF(C66+'Sources'!$I$49-1&gt;='Controls'!$F$7,1,INDEX('Sources'!$D$15:$D$134,C66+'Sources'!$I$49))</x:f>
        <x:v>1</x:v>
      </x:c>
      <x:c r="E66" s="46" t="n">
        <x:f>IF(C66+'Sources'!$I$50-1&gt;='Controls'!$F$7,1,INDEX('Sources'!$E$15:$E$134,C66+'Sources'!$I$50))</x:f>
        <x:v>1</x:v>
      </x:c>
      <x:c r="F66" s="46" t="n">
        <x:f>IF(C66+'Sources'!$I$51-1&gt;='Controls'!$F$7,1,INDEX('Sources'!$D$15:$D$134,C66+'Sources'!$I$51))</x:f>
        <x:v>1</x:v>
      </x:c>
      <x:c r="G66" s="46" t="n">
        <x:f>IF(C66+'Sources'!$I$52-1&gt;='Controls'!$F$7,1,INDEX('Sources'!$E$15:$E$134,C66+'Sources'!$I$52))</x:f>
        <x:v>1</x:v>
      </x:c>
      <x:c r="H66" s="20" t="n">
        <x:f>H65*(1-D66)^'Controls'!$F$6</x:f>
        <x:v>0</x:v>
      </x:c>
      <x:c r="I66" s="20" t="n">
        <x:f>I65*(1-E66)^'Controls'!$F$6</x:f>
        <x:v>0</x:v>
      </x:c>
      <x:c r="J66" s="20" t="n">
        <x:f>J65*(1-F66)^'Controls'!$F$6</x:f>
        <x:v>0</x:v>
      </x:c>
      <x:c r="K66" s="20" t="n">
        <x:f>K65*(1-G66)^'Controls'!$F$6</x:f>
        <x:v>0</x:v>
      </x:c>
      <x:c r="L66" s="52" t="n">
        <x:f>'Controls'!$F$5*(H66*'Sources'!$J$49+I66*'Sources'!$J$50+J66*'Sources'!$J$51+K66*'Sources'!$J$52)</x:f>
        <x:v>0</x:v>
      </x:c>
      <x:c r="M66" s="53" t="n">
        <x:f>'Curve'!M67</x:f>
        <x:v>0.07531791315005144</x:v>
      </x:c>
      <x:c r="N66" s="21" t="n">
        <x:f>L66*M66</x:f>
        <x:v>0</x:v>
      </x:c>
      <x:c r="O66" s="21" t="n">
        <x:f>C66*N66</x:f>
        <x:v>0</x:v>
      </x:c>
      <x:c r="P66" s="21" t="n">
        <x:f>C66*O66</x:f>
        <x:v>0</x:v>
      </x:c>
      <x:c r="Q66" s="21" t="n">
        <x:f>IF(C66&gt;30,N66,0)</x:f>
        <x:v>0</x:v>
      </x:c>
      <x:c r="R66" s="52" t="n">
        <x:f>O66*'Curve'!N67</x:f>
        <x:v>0</x:v>
      </x:c>
      <x:c r="S66" s="52" t="n">
        <x:f>O66*'Curve'!O67</x:f>
        <x:v>0</x:v>
      </x:c>
      <x:c r="T66" s="52" t="n">
        <x:f>O66*'Curve'!P67</x:f>
        <x:v>0</x:v>
      </x:c>
      <x:c r="U66" s="52" t="n">
        <x:f>O66*'Curve'!Q67</x:f>
        <x:v>0</x:v>
      </x:c>
      <x:c r="V66" s="52" t="n">
        <x:f>O66*'Curve'!R67</x:f>
        <x:v>0</x:v>
      </x:c>
      <x:c r="W66" s="52" t="n">
        <x:f>L66*'Curve'!J67</x:f>
        <x:v>0</x:v>
      </x:c>
    </x:row>
    <x:row r="67" ht="20" customHeight="1">
      <x:c r="A67" s="2"/>
      <x:c r="B67" s="2"/>
      <x:c r="C67" s="2" t="n">
        <x:v>62</x:v>
      </x:c>
      <x:c r="D67" s="46" t="n">
        <x:f>IF(C67+'Sources'!$I$49-1&gt;='Controls'!$F$7,1,INDEX('Sources'!$D$15:$D$134,C67+'Sources'!$I$49))</x:f>
        <x:v>1</x:v>
      </x:c>
      <x:c r="E67" s="46" t="n">
        <x:f>IF(C67+'Sources'!$I$50-1&gt;='Controls'!$F$7,1,INDEX('Sources'!$E$15:$E$134,C67+'Sources'!$I$50))</x:f>
        <x:v>1</x:v>
      </x:c>
      <x:c r="F67" s="46" t="n">
        <x:f>IF(C67+'Sources'!$I$51-1&gt;='Controls'!$F$7,1,INDEX('Sources'!$D$15:$D$134,C67+'Sources'!$I$51))</x:f>
        <x:v>1</x:v>
      </x:c>
      <x:c r="G67" s="46" t="n">
        <x:f>IF(C67+'Sources'!$I$52-1&gt;='Controls'!$F$7,1,INDEX('Sources'!$E$15:$E$134,C67+'Sources'!$I$52))</x:f>
        <x:v>1</x:v>
      </x:c>
      <x:c r="H67" s="20" t="n">
        <x:f>H66*(1-D67)^'Controls'!$F$6</x:f>
        <x:v>0</x:v>
      </x:c>
      <x:c r="I67" s="20" t="n">
        <x:f>I66*(1-E67)^'Controls'!$F$6</x:f>
        <x:v>0</x:v>
      </x:c>
      <x:c r="J67" s="20" t="n">
        <x:f>J66*(1-F67)^'Controls'!$F$6</x:f>
        <x:v>0</x:v>
      </x:c>
      <x:c r="K67" s="20" t="n">
        <x:f>K66*(1-G67)^'Controls'!$F$6</x:f>
        <x:v>0</x:v>
      </x:c>
      <x:c r="L67" s="52" t="n">
        <x:f>'Controls'!$F$5*(H67*'Sources'!$J$49+I67*'Sources'!$J$50+J67*'Sources'!$J$51+K67*'Sources'!$J$52)</x:f>
        <x:v>0</x:v>
      </x:c>
      <x:c r="M67" s="53" t="n">
        <x:f>'Curve'!M68</x:f>
        <x:v>0.07432063106775039</x:v>
      </x:c>
      <x:c r="N67" s="21" t="n">
        <x:f>L67*M67</x:f>
        <x:v>0</x:v>
      </x:c>
      <x:c r="O67" s="21" t="n">
        <x:f>C67*N67</x:f>
        <x:v>0</x:v>
      </x:c>
      <x:c r="P67" s="21" t="n">
        <x:f>C67*O67</x:f>
        <x:v>0</x:v>
      </x:c>
      <x:c r="Q67" s="21" t="n">
        <x:f>IF(C67&gt;30,N67,0)</x:f>
        <x:v>0</x:v>
      </x:c>
      <x:c r="R67" s="52" t="n">
        <x:f>O67*'Curve'!N68</x:f>
        <x:v>0</x:v>
      </x:c>
      <x:c r="S67" s="52" t="n">
        <x:f>O67*'Curve'!O68</x:f>
        <x:v>0</x:v>
      </x:c>
      <x:c r="T67" s="52" t="n">
        <x:f>O67*'Curve'!P68</x:f>
        <x:v>0</x:v>
      </x:c>
      <x:c r="U67" s="52" t="n">
        <x:f>O67*'Curve'!Q68</x:f>
        <x:v>0</x:v>
      </x:c>
      <x:c r="V67" s="52" t="n">
        <x:f>O67*'Curve'!R68</x:f>
        <x:v>0</x:v>
      </x:c>
      <x:c r="W67" s="52" t="n">
        <x:f>L67*'Curve'!J68</x:f>
        <x:v>0</x:v>
      </x:c>
    </x:row>
    <x:row r="68" ht="20" customHeight="1">
      <x:c r="A68" s="2"/>
      <x:c r="B68" s="2"/>
      <x:c r="C68" s="2" t="n">
        <x:v>63</x:v>
      </x:c>
      <x:c r="D68" s="46" t="n">
        <x:f>IF(C68+'Sources'!$I$49-1&gt;='Controls'!$F$7,1,INDEX('Sources'!$D$15:$D$134,C68+'Sources'!$I$49))</x:f>
        <x:v>1</x:v>
      </x:c>
      <x:c r="E68" s="46" t="n">
        <x:f>IF(C68+'Sources'!$I$50-1&gt;='Controls'!$F$7,1,INDEX('Sources'!$E$15:$E$134,C68+'Sources'!$I$50))</x:f>
        <x:v>1</x:v>
      </x:c>
      <x:c r="F68" s="46" t="n">
        <x:f>IF(C68+'Sources'!$I$51-1&gt;='Controls'!$F$7,1,INDEX('Sources'!$D$15:$D$134,C68+'Sources'!$I$51))</x:f>
        <x:v>1</x:v>
      </x:c>
      <x:c r="G68" s="46" t="n">
        <x:f>IF(C68+'Sources'!$I$52-1&gt;='Controls'!$F$7,1,INDEX('Sources'!$E$15:$E$134,C68+'Sources'!$I$52))</x:f>
        <x:v>1</x:v>
      </x:c>
      <x:c r="H68" s="20" t="n">
        <x:f>H67*(1-D68)^'Controls'!$F$6</x:f>
        <x:v>0</x:v>
      </x:c>
      <x:c r="I68" s="20" t="n">
        <x:f>I67*(1-E68)^'Controls'!$F$6</x:f>
        <x:v>0</x:v>
      </x:c>
      <x:c r="J68" s="20" t="n">
        <x:f>J67*(1-F68)^'Controls'!$F$6</x:f>
        <x:v>0</x:v>
      </x:c>
      <x:c r="K68" s="20" t="n">
        <x:f>K67*(1-G68)^'Controls'!$F$6</x:f>
        <x:v>0</x:v>
      </x:c>
      <x:c r="L68" s="52" t="n">
        <x:f>'Controls'!$F$5*(H68*'Sources'!$J$49+I68*'Sources'!$J$50+J68*'Sources'!$J$51+K68*'Sources'!$J$52)</x:f>
        <x:v>0</x:v>
      </x:c>
      <x:c r="M68" s="53" t="n">
        <x:f>'Curve'!M69</x:f>
        <x:v>0.07338196499004987</x:v>
      </x:c>
      <x:c r="N68" s="21" t="n">
        <x:f>L68*M68</x:f>
        <x:v>0</x:v>
      </x:c>
      <x:c r="O68" s="21" t="n">
        <x:f>C68*N68</x:f>
        <x:v>0</x:v>
      </x:c>
      <x:c r="P68" s="21" t="n">
        <x:f>C68*O68</x:f>
        <x:v>0</x:v>
      </x:c>
      <x:c r="Q68" s="21" t="n">
        <x:f>IF(C68&gt;30,N68,0)</x:f>
        <x:v>0</x:v>
      </x:c>
      <x:c r="R68" s="52" t="n">
        <x:f>O68*'Curve'!N69</x:f>
        <x:v>0</x:v>
      </x:c>
      <x:c r="S68" s="52" t="n">
        <x:f>O68*'Curve'!O69</x:f>
        <x:v>0</x:v>
      </x:c>
      <x:c r="T68" s="52" t="n">
        <x:f>O68*'Curve'!P69</x:f>
        <x:v>0</x:v>
      </x:c>
      <x:c r="U68" s="52" t="n">
        <x:f>O68*'Curve'!Q69</x:f>
        <x:v>0</x:v>
      </x:c>
      <x:c r="V68" s="52" t="n">
        <x:f>O68*'Curve'!R69</x:f>
        <x:v>0</x:v>
      </x:c>
      <x:c r="W68" s="52" t="n">
        <x:f>L68*'Curve'!J69</x:f>
        <x:v>0</x:v>
      </x:c>
    </x:row>
    <x:row r="69" ht="20" customHeight="1">
      <x:c r="A69" s="2"/>
      <x:c r="B69" s="2"/>
      <x:c r="C69" s="2" t="n">
        <x:v>64</x:v>
      </x:c>
      <x:c r="D69" s="46" t="n">
        <x:f>IF(C69+'Sources'!$I$49-1&gt;='Controls'!$F$7,1,INDEX('Sources'!$D$15:$D$134,C69+'Sources'!$I$49))</x:f>
        <x:v>1</x:v>
      </x:c>
      <x:c r="E69" s="46" t="n">
        <x:f>IF(C69+'Sources'!$I$50-1&gt;='Controls'!$F$7,1,INDEX('Sources'!$E$15:$E$134,C69+'Sources'!$I$50))</x:f>
        <x:v>1</x:v>
      </x:c>
      <x:c r="F69" s="46" t="n">
        <x:f>IF(C69+'Sources'!$I$51-1&gt;='Controls'!$F$7,1,INDEX('Sources'!$D$15:$D$134,C69+'Sources'!$I$51))</x:f>
        <x:v>1</x:v>
      </x:c>
      <x:c r="G69" s="46" t="n">
        <x:f>IF(C69+'Sources'!$I$52-1&gt;='Controls'!$F$7,1,INDEX('Sources'!$E$15:$E$134,C69+'Sources'!$I$52))</x:f>
        <x:v>1</x:v>
      </x:c>
      <x:c r="H69" s="20" t="n">
        <x:f>H68*(1-D69)^'Controls'!$F$6</x:f>
        <x:v>0</x:v>
      </x:c>
      <x:c r="I69" s="20" t="n">
        <x:f>I68*(1-E69)^'Controls'!$F$6</x:f>
        <x:v>0</x:v>
      </x:c>
      <x:c r="J69" s="20" t="n">
        <x:f>J68*(1-F69)^'Controls'!$F$6</x:f>
        <x:v>0</x:v>
      </x:c>
      <x:c r="K69" s="20" t="n">
        <x:f>K68*(1-G69)^'Controls'!$F$6</x:f>
        <x:v>0</x:v>
      </x:c>
      <x:c r="L69" s="52" t="n">
        <x:f>'Controls'!$F$5*(H69*'Sources'!$J$49+I69*'Sources'!$J$50+J69*'Sources'!$J$51+K69*'Sources'!$J$52)</x:f>
        <x:v>0</x:v>
      </x:c>
      <x:c r="M69" s="53" t="n">
        <x:f>'Curve'!M70</x:f>
        <x:v>0.07249816027905924</x:v>
      </x:c>
      <x:c r="N69" s="21" t="n">
        <x:f>L69*M69</x:f>
        <x:v>0</x:v>
      </x:c>
      <x:c r="O69" s="21" t="n">
        <x:f>C69*N69</x:f>
        <x:v>0</x:v>
      </x:c>
      <x:c r="P69" s="21" t="n">
        <x:f>C69*O69</x:f>
        <x:v>0</x:v>
      </x:c>
      <x:c r="Q69" s="21" t="n">
        <x:f>IF(C69&gt;30,N69,0)</x:f>
        <x:v>0</x:v>
      </x:c>
      <x:c r="R69" s="52" t="n">
        <x:f>O69*'Curve'!N70</x:f>
        <x:v>0</x:v>
      </x:c>
      <x:c r="S69" s="52" t="n">
        <x:f>O69*'Curve'!O70</x:f>
        <x:v>0</x:v>
      </x:c>
      <x:c r="T69" s="52" t="n">
        <x:f>O69*'Curve'!P70</x:f>
        <x:v>0</x:v>
      </x:c>
      <x:c r="U69" s="52" t="n">
        <x:f>O69*'Curve'!Q70</x:f>
        <x:v>0</x:v>
      </x:c>
      <x:c r="V69" s="52" t="n">
        <x:f>O69*'Curve'!R70</x:f>
        <x:v>0</x:v>
      </x:c>
      <x:c r="W69" s="52" t="n">
        <x:f>L69*'Curve'!J70</x:f>
        <x:v>0</x:v>
      </x:c>
    </x:row>
    <x:row r="70" ht="20" customHeight="1">
      <x:c r="A70" s="2"/>
      <x:c r="B70" s="2"/>
      <x:c r="C70" s="2" t="n">
        <x:v>65</x:v>
      </x:c>
      <x:c r="D70" s="46" t="n">
        <x:f>IF(C70+'Sources'!$I$49-1&gt;='Controls'!$F$7,1,INDEX('Sources'!$D$15:$D$134,C70+'Sources'!$I$49))</x:f>
        <x:v>1</x:v>
      </x:c>
      <x:c r="E70" s="46" t="n">
        <x:f>IF(C70+'Sources'!$I$50-1&gt;='Controls'!$F$7,1,INDEX('Sources'!$E$15:$E$134,C70+'Sources'!$I$50))</x:f>
        <x:v>1</x:v>
      </x:c>
      <x:c r="F70" s="46" t="n">
        <x:f>IF(C70+'Sources'!$I$51-1&gt;='Controls'!$F$7,1,INDEX('Sources'!$D$15:$D$134,C70+'Sources'!$I$51))</x:f>
        <x:v>1</x:v>
      </x:c>
      <x:c r="G70" s="46" t="n">
        <x:f>IF(C70+'Sources'!$I$52-1&gt;='Controls'!$F$7,1,INDEX('Sources'!$E$15:$E$134,C70+'Sources'!$I$52))</x:f>
        <x:v>1</x:v>
      </x:c>
      <x:c r="H70" s="20" t="n">
        <x:f>H69*(1-D70)^'Controls'!$F$6</x:f>
        <x:v>0</x:v>
      </x:c>
      <x:c r="I70" s="20" t="n">
        <x:f>I69*(1-E70)^'Controls'!$F$6</x:f>
        <x:v>0</x:v>
      </x:c>
      <x:c r="J70" s="20" t="n">
        <x:f>J69*(1-F70)^'Controls'!$F$6</x:f>
        <x:v>0</x:v>
      </x:c>
      <x:c r="K70" s="20" t="n">
        <x:f>K69*(1-G70)^'Controls'!$F$6</x:f>
        <x:v>0</x:v>
      </x:c>
      <x:c r="L70" s="52" t="n">
        <x:f>'Controls'!$F$5*(H70*'Sources'!$J$49+I70*'Sources'!$J$50+J70*'Sources'!$J$51+K70*'Sources'!$J$52)</x:f>
        <x:v>0</x:v>
      </x:c>
      <x:c r="M70" s="53" t="n">
        <x:f>'Curve'!M71</x:f>
        <x:v>0.07166573339971948</x:v>
      </x:c>
      <x:c r="N70" s="21" t="n">
        <x:f>L70*M70</x:f>
        <x:v>0</x:v>
      </x:c>
      <x:c r="O70" s="21" t="n">
        <x:f>C70*N70</x:f>
        <x:v>0</x:v>
      </x:c>
      <x:c r="P70" s="21" t="n">
        <x:f>C70*O70</x:f>
        <x:v>0</x:v>
      </x:c>
      <x:c r="Q70" s="21" t="n">
        <x:f>IF(C70&gt;30,N70,0)</x:f>
        <x:v>0</x:v>
      </x:c>
      <x:c r="R70" s="52" t="n">
        <x:f>O70*'Curve'!N71</x:f>
        <x:v>0</x:v>
      </x:c>
      <x:c r="S70" s="52" t="n">
        <x:f>O70*'Curve'!O71</x:f>
        <x:v>0</x:v>
      </x:c>
      <x:c r="T70" s="52" t="n">
        <x:f>O70*'Curve'!P71</x:f>
        <x:v>0</x:v>
      </x:c>
      <x:c r="U70" s="52" t="n">
        <x:f>O70*'Curve'!Q71</x:f>
        <x:v>0</x:v>
      </x:c>
      <x:c r="V70" s="52" t="n">
        <x:f>O70*'Curve'!R71</x:f>
        <x:v>0</x:v>
      </x:c>
      <x:c r="W70" s="52" t="n">
        <x:f>L70*'Curve'!J71</x:f>
        <x:v>0</x:v>
      </x:c>
    </x:row>
    <x:row r="71" ht="20" customHeight="1">
      <x:c r="A71" s="2"/>
      <x:c r="B71" s="2"/>
      <x:c r="C71" s="2" t="n">
        <x:v>66</x:v>
      </x:c>
      <x:c r="D71" s="46" t="n">
        <x:f>IF(C71+'Sources'!$I$49-1&gt;='Controls'!$F$7,1,INDEX('Sources'!$D$15:$D$134,C71+'Sources'!$I$49))</x:f>
        <x:v>1</x:v>
      </x:c>
      <x:c r="E71" s="46" t="n">
        <x:f>IF(C71+'Sources'!$I$50-1&gt;='Controls'!$F$7,1,INDEX('Sources'!$E$15:$E$134,C71+'Sources'!$I$50))</x:f>
        <x:v>1</x:v>
      </x:c>
      <x:c r="F71" s="46" t="n">
        <x:f>IF(C71+'Sources'!$I$51-1&gt;='Controls'!$F$7,1,INDEX('Sources'!$D$15:$D$134,C71+'Sources'!$I$51))</x:f>
        <x:v>1</x:v>
      </x:c>
      <x:c r="G71" s="46" t="n">
        <x:f>IF(C71+'Sources'!$I$52-1&gt;='Controls'!$F$7,1,INDEX('Sources'!$E$15:$E$134,C71+'Sources'!$I$52))</x:f>
        <x:v>1</x:v>
      </x:c>
      <x:c r="H71" s="20" t="n">
        <x:f>H70*(1-D71)^'Controls'!$F$6</x:f>
        <x:v>0</x:v>
      </x:c>
      <x:c r="I71" s="20" t="n">
        <x:f>I70*(1-E71)^'Controls'!$F$6</x:f>
        <x:v>0</x:v>
      </x:c>
      <x:c r="J71" s="20" t="n">
        <x:f>J70*(1-F71)^'Controls'!$F$6</x:f>
        <x:v>0</x:v>
      </x:c>
      <x:c r="K71" s="20" t="n">
        <x:f>K70*(1-G71)^'Controls'!$F$6</x:f>
        <x:v>0</x:v>
      </x:c>
      <x:c r="L71" s="52" t="n">
        <x:f>'Controls'!$F$5*(H71*'Sources'!$J$49+I71*'Sources'!$J$50+J71*'Sources'!$J$51+K71*'Sources'!$J$52)</x:f>
        <x:v>0</x:v>
      </x:c>
      <x:c r="M71" s="53" t="n">
        <x:f>'Curve'!M72</x:f>
        <x:v>0.07088144972530007</x:v>
      </x:c>
      <x:c r="N71" s="21" t="n">
        <x:f>L71*M71</x:f>
        <x:v>0</x:v>
      </x:c>
      <x:c r="O71" s="21" t="n">
        <x:f>C71*N71</x:f>
        <x:v>0</x:v>
      </x:c>
      <x:c r="P71" s="21" t="n">
        <x:f>C71*O71</x:f>
        <x:v>0</x:v>
      </x:c>
      <x:c r="Q71" s="21" t="n">
        <x:f>IF(C71&gt;30,N71,0)</x:f>
        <x:v>0</x:v>
      </x:c>
      <x:c r="R71" s="52" t="n">
        <x:f>O71*'Curve'!N72</x:f>
        <x:v>0</x:v>
      </x:c>
      <x:c r="S71" s="52" t="n">
        <x:f>O71*'Curve'!O72</x:f>
        <x:v>0</x:v>
      </x:c>
      <x:c r="T71" s="52" t="n">
        <x:f>O71*'Curve'!P72</x:f>
        <x:v>0</x:v>
      </x:c>
      <x:c r="U71" s="52" t="n">
        <x:f>O71*'Curve'!Q72</x:f>
        <x:v>0</x:v>
      </x:c>
      <x:c r="V71" s="52" t="n">
        <x:f>O71*'Curve'!R72</x:f>
        <x:v>0</x:v>
      </x:c>
      <x:c r="W71" s="52" t="n">
        <x:f>L71*'Curve'!J72</x:f>
        <x:v>0</x:v>
      </x:c>
    </x:row>
    <x:row r="72" ht="20" customHeight="1">
      <x:c r="A72" s="2"/>
      <x:c r="B72" s="2"/>
      <x:c r="C72" s="2" t="n">
        <x:v>67</x:v>
      </x:c>
      <x:c r="D72" s="46" t="n">
        <x:f>IF(C72+'Sources'!$I$49-1&gt;='Controls'!$F$7,1,INDEX('Sources'!$D$15:$D$134,C72+'Sources'!$I$49))</x:f>
        <x:v>1</x:v>
      </x:c>
      <x:c r="E72" s="46" t="n">
        <x:f>IF(C72+'Sources'!$I$50-1&gt;='Controls'!$F$7,1,INDEX('Sources'!$E$15:$E$134,C72+'Sources'!$I$50))</x:f>
        <x:v>1</x:v>
      </x:c>
      <x:c r="F72" s="46" t="n">
        <x:f>IF(C72+'Sources'!$I$51-1&gt;='Controls'!$F$7,1,INDEX('Sources'!$D$15:$D$134,C72+'Sources'!$I$51))</x:f>
        <x:v>1</x:v>
      </x:c>
      <x:c r="G72" s="46" t="n">
        <x:f>IF(C72+'Sources'!$I$52-1&gt;='Controls'!$F$7,1,INDEX('Sources'!$E$15:$E$134,C72+'Sources'!$I$52))</x:f>
        <x:v>1</x:v>
      </x:c>
      <x:c r="H72" s="20" t="n">
        <x:f>H71*(1-D72)^'Controls'!$F$6</x:f>
        <x:v>0</x:v>
      </x:c>
      <x:c r="I72" s="20" t="n">
        <x:f>I71*(1-E72)^'Controls'!$F$6</x:f>
        <x:v>0</x:v>
      </x:c>
      <x:c r="J72" s="20" t="n">
        <x:f>J71*(1-F72)^'Controls'!$F$6</x:f>
        <x:v>0</x:v>
      </x:c>
      <x:c r="K72" s="20" t="n">
        <x:f>K71*(1-G72)^'Controls'!$F$6</x:f>
        <x:v>0</x:v>
      </x:c>
      <x:c r="L72" s="52" t="n">
        <x:f>'Controls'!$F$5*(H72*'Sources'!$J$49+I72*'Sources'!$J$50+J72*'Sources'!$J$51+K72*'Sources'!$J$52)</x:f>
        <x:v>0</x:v>
      </x:c>
      <x:c r="M72" s="53" t="n">
        <x:f>'Curve'!M73</x:f>
        <x:v>0.07014230334985862</x:v>
      </x:c>
      <x:c r="N72" s="21" t="n">
        <x:f>L72*M72</x:f>
        <x:v>0</x:v>
      </x:c>
      <x:c r="O72" s="21" t="n">
        <x:f>C72*N72</x:f>
        <x:v>0</x:v>
      </x:c>
      <x:c r="P72" s="21" t="n">
        <x:f>C72*O72</x:f>
        <x:v>0</x:v>
      </x:c>
      <x:c r="Q72" s="21" t="n">
        <x:f>IF(C72&gt;30,N72,0)</x:f>
        <x:v>0</x:v>
      </x:c>
      <x:c r="R72" s="52" t="n">
        <x:f>O72*'Curve'!N73</x:f>
        <x:v>0</x:v>
      </x:c>
      <x:c r="S72" s="52" t="n">
        <x:f>O72*'Curve'!O73</x:f>
        <x:v>0</x:v>
      </x:c>
      <x:c r="T72" s="52" t="n">
        <x:f>O72*'Curve'!P73</x:f>
        <x:v>0</x:v>
      </x:c>
      <x:c r="U72" s="52" t="n">
        <x:f>O72*'Curve'!Q73</x:f>
        <x:v>0</x:v>
      </x:c>
      <x:c r="V72" s="52" t="n">
        <x:f>O72*'Curve'!R73</x:f>
        <x:v>0</x:v>
      </x:c>
      <x:c r="W72" s="52" t="n">
        <x:f>L72*'Curve'!J73</x:f>
        <x:v>0</x:v>
      </x:c>
    </x:row>
    <x:row r="73" ht="20" customHeight="1">
      <x:c r="A73" s="2"/>
      <x:c r="B73" s="2"/>
      <x:c r="C73" s="2" t="n">
        <x:v>68</x:v>
      </x:c>
      <x:c r="D73" s="46" t="n">
        <x:f>IF(C73+'Sources'!$I$49-1&gt;='Controls'!$F$7,1,INDEX('Sources'!$D$15:$D$134,C73+'Sources'!$I$49))</x:f>
        <x:v>1</x:v>
      </x:c>
      <x:c r="E73" s="46" t="n">
        <x:f>IF(C73+'Sources'!$I$50-1&gt;='Controls'!$F$7,1,INDEX('Sources'!$E$15:$E$134,C73+'Sources'!$I$50))</x:f>
        <x:v>1</x:v>
      </x:c>
      <x:c r="F73" s="46" t="n">
        <x:f>IF(C73+'Sources'!$I$51-1&gt;='Controls'!$F$7,1,INDEX('Sources'!$D$15:$D$134,C73+'Sources'!$I$51))</x:f>
        <x:v>1</x:v>
      </x:c>
      <x:c r="G73" s="46" t="n">
        <x:f>IF(C73+'Sources'!$I$52-1&gt;='Controls'!$F$7,1,INDEX('Sources'!$E$15:$E$134,C73+'Sources'!$I$52))</x:f>
        <x:v>1</x:v>
      </x:c>
      <x:c r="H73" s="20" t="n">
        <x:f>H72*(1-D73)^'Controls'!$F$6</x:f>
        <x:v>0</x:v>
      </x:c>
      <x:c r="I73" s="20" t="n">
        <x:f>I72*(1-E73)^'Controls'!$F$6</x:f>
        <x:v>0</x:v>
      </x:c>
      <x:c r="J73" s="20" t="n">
        <x:f>J72*(1-F73)^'Controls'!$F$6</x:f>
        <x:v>0</x:v>
      </x:c>
      <x:c r="K73" s="20" t="n">
        <x:f>K72*(1-G73)^'Controls'!$F$6</x:f>
        <x:v>0</x:v>
      </x:c>
      <x:c r="L73" s="52" t="n">
        <x:f>'Controls'!$F$5*(H73*'Sources'!$J$49+I73*'Sources'!$J$50+J73*'Sources'!$J$51+K73*'Sources'!$J$52)</x:f>
        <x:v>0</x:v>
      </x:c>
      <x:c r="M73" s="53" t="n">
        <x:f>'Curve'!M74</x:f>
        <x:v>0.0694454987149882</x:v>
      </x:c>
      <x:c r="N73" s="21" t="n">
        <x:f>L73*M73</x:f>
        <x:v>0</x:v>
      </x:c>
      <x:c r="O73" s="21" t="n">
        <x:f>C73*N73</x:f>
        <x:v>0</x:v>
      </x:c>
      <x:c r="P73" s="21" t="n">
        <x:f>C73*O73</x:f>
        <x:v>0</x:v>
      </x:c>
      <x:c r="Q73" s="21" t="n">
        <x:f>IF(C73&gt;30,N73,0)</x:f>
        <x:v>0</x:v>
      </x:c>
      <x:c r="R73" s="52" t="n">
        <x:f>O73*'Curve'!N74</x:f>
        <x:v>0</x:v>
      </x:c>
      <x:c r="S73" s="52" t="n">
        <x:f>O73*'Curve'!O74</x:f>
        <x:v>0</x:v>
      </x:c>
      <x:c r="T73" s="52" t="n">
        <x:f>O73*'Curve'!P74</x:f>
        <x:v>0</x:v>
      </x:c>
      <x:c r="U73" s="52" t="n">
        <x:f>O73*'Curve'!Q74</x:f>
        <x:v>0</x:v>
      </x:c>
      <x:c r="V73" s="52" t="n">
        <x:f>O73*'Curve'!R74</x:f>
        <x:v>0</x:v>
      </x:c>
      <x:c r="W73" s="52" t="n">
        <x:f>L73*'Curve'!J74</x:f>
        <x:v>0</x:v>
      </x:c>
    </x:row>
    <x:row r="74" ht="20" customHeight="1">
      <x:c r="A74" s="2"/>
      <x:c r="B74" s="2"/>
      <x:c r="C74" s="2" t="n">
        <x:v>69</x:v>
      </x:c>
      <x:c r="D74" s="46" t="n">
        <x:f>IF(C74+'Sources'!$I$49-1&gt;='Controls'!$F$7,1,INDEX('Sources'!$D$15:$D$134,C74+'Sources'!$I$49))</x:f>
        <x:v>1</x:v>
      </x:c>
      <x:c r="E74" s="46" t="n">
        <x:f>IF(C74+'Sources'!$I$50-1&gt;='Controls'!$F$7,1,INDEX('Sources'!$E$15:$E$134,C74+'Sources'!$I$50))</x:f>
        <x:v>1</x:v>
      </x:c>
      <x:c r="F74" s="46" t="n">
        <x:f>IF(C74+'Sources'!$I$51-1&gt;='Controls'!$F$7,1,INDEX('Sources'!$D$15:$D$134,C74+'Sources'!$I$51))</x:f>
        <x:v>1</x:v>
      </x:c>
      <x:c r="G74" s="46" t="n">
        <x:f>IF(C74+'Sources'!$I$52-1&gt;='Controls'!$F$7,1,INDEX('Sources'!$E$15:$E$134,C74+'Sources'!$I$52))</x:f>
        <x:v>1</x:v>
      </x:c>
      <x:c r="H74" s="20" t="n">
        <x:f>H73*(1-D74)^'Controls'!$F$6</x:f>
        <x:v>0</x:v>
      </x:c>
      <x:c r="I74" s="20" t="n">
        <x:f>I73*(1-E74)^'Controls'!$F$6</x:f>
        <x:v>0</x:v>
      </x:c>
      <x:c r="J74" s="20" t="n">
        <x:f>J73*(1-F74)^'Controls'!$F$6</x:f>
        <x:v>0</x:v>
      </x:c>
      <x:c r="K74" s="20" t="n">
        <x:f>K73*(1-G74)^'Controls'!$F$6</x:f>
        <x:v>0</x:v>
      </x:c>
      <x:c r="L74" s="52" t="n">
        <x:f>'Controls'!$F$5*(H74*'Sources'!$J$49+I74*'Sources'!$J$50+J74*'Sources'!$J$51+K74*'Sources'!$J$52)</x:f>
        <x:v>0</x:v>
      </x:c>
      <x:c r="M74" s="53" t="n">
        <x:f>'Curve'!M75</x:f>
        <x:v>0.06878843387704225</x:v>
      </x:c>
      <x:c r="N74" s="21" t="n">
        <x:f>L74*M74</x:f>
        <x:v>0</x:v>
      </x:c>
      <x:c r="O74" s="21" t="n">
        <x:f>C74*N74</x:f>
        <x:v>0</x:v>
      </x:c>
      <x:c r="P74" s="21" t="n">
        <x:f>C74*O74</x:f>
        <x:v>0</x:v>
      </x:c>
      <x:c r="Q74" s="21" t="n">
        <x:f>IF(C74&gt;30,N74,0)</x:f>
        <x:v>0</x:v>
      </x:c>
      <x:c r="R74" s="52" t="n">
        <x:f>O74*'Curve'!N75</x:f>
        <x:v>0</x:v>
      </x:c>
      <x:c r="S74" s="52" t="n">
        <x:f>O74*'Curve'!O75</x:f>
        <x:v>0</x:v>
      </x:c>
      <x:c r="T74" s="52" t="n">
        <x:f>O74*'Curve'!P75</x:f>
        <x:v>0</x:v>
      </x:c>
      <x:c r="U74" s="52" t="n">
        <x:f>O74*'Curve'!Q75</x:f>
        <x:v>0</x:v>
      </x:c>
      <x:c r="V74" s="52" t="n">
        <x:f>O74*'Curve'!R75</x:f>
        <x:v>0</x:v>
      </x:c>
      <x:c r="W74" s="52" t="n">
        <x:f>L74*'Curve'!J75</x:f>
        <x:v>0</x:v>
      </x:c>
    </x:row>
    <x:row r="75" ht="20" customHeight="1">
      <x:c r="A75" s="2"/>
      <x:c r="B75" s="2"/>
      <x:c r="C75" s="2" t="n">
        <x:v>70</x:v>
      </x:c>
      <x:c r="D75" s="46" t="n">
        <x:f>IF(C75+'Sources'!$I$49-1&gt;='Controls'!$F$7,1,INDEX('Sources'!$D$15:$D$134,C75+'Sources'!$I$49))</x:f>
        <x:v>1</x:v>
      </x:c>
      <x:c r="E75" s="46" t="n">
        <x:f>IF(C75+'Sources'!$I$50-1&gt;='Controls'!$F$7,1,INDEX('Sources'!$E$15:$E$134,C75+'Sources'!$I$50))</x:f>
        <x:v>1</x:v>
      </x:c>
      <x:c r="F75" s="46" t="n">
        <x:f>IF(C75+'Sources'!$I$51-1&gt;='Controls'!$F$7,1,INDEX('Sources'!$D$15:$D$134,C75+'Sources'!$I$51))</x:f>
        <x:v>1</x:v>
      </x:c>
      <x:c r="G75" s="46" t="n">
        <x:f>IF(C75+'Sources'!$I$52-1&gt;='Controls'!$F$7,1,INDEX('Sources'!$E$15:$E$134,C75+'Sources'!$I$52))</x:f>
        <x:v>1</x:v>
      </x:c>
      <x:c r="H75" s="20" t="n">
        <x:f>H74*(1-D75)^'Controls'!$F$6</x:f>
        <x:v>0</x:v>
      </x:c>
      <x:c r="I75" s="20" t="n">
        <x:f>I74*(1-E75)^'Controls'!$F$6</x:f>
        <x:v>0</x:v>
      </x:c>
      <x:c r="J75" s="20" t="n">
        <x:f>J74*(1-F75)^'Controls'!$F$6</x:f>
        <x:v>0</x:v>
      </x:c>
      <x:c r="K75" s="20" t="n">
        <x:f>K74*(1-G75)^'Controls'!$F$6</x:f>
        <x:v>0</x:v>
      </x:c>
      <x:c r="L75" s="52" t="n">
        <x:f>'Controls'!$F$5*(H75*'Sources'!$J$49+I75*'Sources'!$J$50+J75*'Sources'!$J$51+K75*'Sources'!$J$52)</x:f>
        <x:v>0</x:v>
      </x:c>
      <x:c r="M75" s="53" t="n">
        <x:f>'Curve'!M76</x:f>
        <x:v>0.06816868525810278</x:v>
      </x:c>
      <x:c r="N75" s="21" t="n">
        <x:f>L75*M75</x:f>
        <x:v>0</x:v>
      </x:c>
      <x:c r="O75" s="21" t="n">
        <x:f>C75*N75</x:f>
        <x:v>0</x:v>
      </x:c>
      <x:c r="P75" s="21" t="n">
        <x:f>C75*O75</x:f>
        <x:v>0</x:v>
      </x:c>
      <x:c r="Q75" s="21" t="n">
        <x:f>IF(C75&gt;30,N75,0)</x:f>
        <x:v>0</x:v>
      </x:c>
      <x:c r="R75" s="52" t="n">
        <x:f>O75*'Curve'!N76</x:f>
        <x:v>0</x:v>
      </x:c>
      <x:c r="S75" s="52" t="n">
        <x:f>O75*'Curve'!O76</x:f>
        <x:v>0</x:v>
      </x:c>
      <x:c r="T75" s="52" t="n">
        <x:f>O75*'Curve'!P76</x:f>
        <x:v>0</x:v>
      </x:c>
      <x:c r="U75" s="52" t="n">
        <x:f>O75*'Curve'!Q76</x:f>
        <x:v>0</x:v>
      </x:c>
      <x:c r="V75" s="52" t="n">
        <x:f>O75*'Curve'!R76</x:f>
        <x:v>0</x:v>
      </x:c>
      <x:c r="W75" s="52" t="n">
        <x:f>L75*'Curve'!J76</x:f>
        <x:v>0</x:v>
      </x:c>
    </x:row>
    <x:row r="76" ht="20" customHeight="1">
      <x:c r="A76" s="2"/>
      <x:c r="B76" s="2"/>
      <x:c r="C76" s="2" t="n">
        <x:v>71</x:v>
      </x:c>
      <x:c r="D76" s="46" t="n">
        <x:f>IF(C76+'Sources'!$I$49-1&gt;='Controls'!$F$7,1,INDEX('Sources'!$D$15:$D$134,C76+'Sources'!$I$49))</x:f>
        <x:v>1</x:v>
      </x:c>
      <x:c r="E76" s="46" t="n">
        <x:f>IF(C76+'Sources'!$I$50-1&gt;='Controls'!$F$7,1,INDEX('Sources'!$E$15:$E$134,C76+'Sources'!$I$50))</x:f>
        <x:v>1</x:v>
      </x:c>
      <x:c r="F76" s="46" t="n">
        <x:f>IF(C76+'Sources'!$I$51-1&gt;='Controls'!$F$7,1,INDEX('Sources'!$D$15:$D$134,C76+'Sources'!$I$51))</x:f>
        <x:v>1</x:v>
      </x:c>
      <x:c r="G76" s="46" t="n">
        <x:f>IF(C76+'Sources'!$I$52-1&gt;='Controls'!$F$7,1,INDEX('Sources'!$E$15:$E$134,C76+'Sources'!$I$52))</x:f>
        <x:v>1</x:v>
      </x:c>
      <x:c r="H76" s="20" t="n">
        <x:f>H75*(1-D76)^'Controls'!$F$6</x:f>
        <x:v>0</x:v>
      </x:c>
      <x:c r="I76" s="20" t="n">
        <x:f>I75*(1-E76)^'Controls'!$F$6</x:f>
        <x:v>0</x:v>
      </x:c>
      <x:c r="J76" s="20" t="n">
        <x:f>J75*(1-F76)^'Controls'!$F$6</x:f>
        <x:v>0</x:v>
      </x:c>
      <x:c r="K76" s="20" t="n">
        <x:f>K75*(1-G76)^'Controls'!$F$6</x:f>
        <x:v>0</x:v>
      </x:c>
      <x:c r="L76" s="52" t="n">
        <x:f>'Controls'!$F$5*(H76*'Sources'!$J$49+I76*'Sources'!$J$50+J76*'Sources'!$J$51+K76*'Sources'!$J$52)</x:f>
        <x:v>0</x:v>
      </x:c>
      <x:c r="M76" s="53" t="n">
        <x:f>'Curve'!M77</x:f>
        <x:v>0.06758399373938574</x:v>
      </x:c>
      <x:c r="N76" s="21" t="n">
        <x:f>L76*M76</x:f>
        <x:v>0</x:v>
      </x:c>
      <x:c r="O76" s="21" t="n">
        <x:f>C76*N76</x:f>
        <x:v>0</x:v>
      </x:c>
      <x:c r="P76" s="21" t="n">
        <x:f>C76*O76</x:f>
        <x:v>0</x:v>
      </x:c>
      <x:c r="Q76" s="21" t="n">
        <x:f>IF(C76&gt;30,N76,0)</x:f>
        <x:v>0</x:v>
      </x:c>
      <x:c r="R76" s="52" t="n">
        <x:f>O76*'Curve'!N77</x:f>
        <x:v>0</x:v>
      </x:c>
      <x:c r="S76" s="52" t="n">
        <x:f>O76*'Curve'!O77</x:f>
        <x:v>0</x:v>
      </x:c>
      <x:c r="T76" s="52" t="n">
        <x:f>O76*'Curve'!P77</x:f>
        <x:v>0</x:v>
      </x:c>
      <x:c r="U76" s="52" t="n">
        <x:f>O76*'Curve'!Q77</x:f>
        <x:v>0</x:v>
      </x:c>
      <x:c r="V76" s="52" t="n">
        <x:f>O76*'Curve'!R77</x:f>
        <x:v>0</x:v>
      </x:c>
      <x:c r="W76" s="52" t="n">
        <x:f>L76*'Curve'!J77</x:f>
        <x:v>0</x:v>
      </x:c>
    </x:row>
    <x:row r="77" ht="20" customHeight="1">
      <x:c r="A77" s="2"/>
      <x:c r="B77" s="2"/>
      <x:c r="C77" s="2" t="n">
        <x:v>72</x:v>
      </x:c>
      <x:c r="D77" s="46" t="n">
        <x:f>IF(C77+'Sources'!$I$49-1&gt;='Controls'!$F$7,1,INDEX('Sources'!$D$15:$D$134,C77+'Sources'!$I$49))</x:f>
        <x:v>1</x:v>
      </x:c>
      <x:c r="E77" s="46" t="n">
        <x:f>IF(C77+'Sources'!$I$50-1&gt;='Controls'!$F$7,1,INDEX('Sources'!$E$15:$E$134,C77+'Sources'!$I$50))</x:f>
        <x:v>1</x:v>
      </x:c>
      <x:c r="F77" s="46" t="n">
        <x:f>IF(C77+'Sources'!$I$51-1&gt;='Controls'!$F$7,1,INDEX('Sources'!$D$15:$D$134,C77+'Sources'!$I$51))</x:f>
        <x:v>1</x:v>
      </x:c>
      <x:c r="G77" s="46" t="n">
        <x:f>IF(C77+'Sources'!$I$52-1&gt;='Controls'!$F$7,1,INDEX('Sources'!$E$15:$E$134,C77+'Sources'!$I$52))</x:f>
        <x:v>1</x:v>
      </x:c>
      <x:c r="H77" s="20" t="n">
        <x:f>H76*(1-D77)^'Controls'!$F$6</x:f>
        <x:v>0</x:v>
      </x:c>
      <x:c r="I77" s="20" t="n">
        <x:f>I76*(1-E77)^'Controls'!$F$6</x:f>
        <x:v>0</x:v>
      </x:c>
      <x:c r="J77" s="20" t="n">
        <x:f>J76*(1-F77)^'Controls'!$F$6</x:f>
        <x:v>0</x:v>
      </x:c>
      <x:c r="K77" s="20" t="n">
        <x:f>K76*(1-G77)^'Controls'!$F$6</x:f>
        <x:v>0</x:v>
      </x:c>
      <x:c r="L77" s="52" t="n">
        <x:f>'Controls'!$F$5*(H77*'Sources'!$J$49+I77*'Sources'!$J$50+J77*'Sources'!$J$51+K77*'Sources'!$J$52)</x:f>
        <x:v>0</x:v>
      </x:c>
      <x:c r="M77" s="53" t="n">
        <x:f>'Curve'!M78</x:f>
        <x:v>0.0670322519697085</x:v>
      </x:c>
      <x:c r="N77" s="21" t="n">
        <x:f>L77*M77</x:f>
        <x:v>0</x:v>
      </x:c>
      <x:c r="O77" s="21" t="n">
        <x:f>C77*N77</x:f>
        <x:v>0</x:v>
      </x:c>
      <x:c r="P77" s="21" t="n">
        <x:f>C77*O77</x:f>
        <x:v>0</x:v>
      </x:c>
      <x:c r="Q77" s="21" t="n">
        <x:f>IF(C77&gt;30,N77,0)</x:f>
        <x:v>0</x:v>
      </x:c>
      <x:c r="R77" s="52" t="n">
        <x:f>O77*'Curve'!N78</x:f>
        <x:v>0</x:v>
      </x:c>
      <x:c r="S77" s="52" t="n">
        <x:f>O77*'Curve'!O78</x:f>
        <x:v>0</x:v>
      </x:c>
      <x:c r="T77" s="52" t="n">
        <x:f>O77*'Curve'!P78</x:f>
        <x:v>0</x:v>
      </x:c>
      <x:c r="U77" s="52" t="n">
        <x:f>O77*'Curve'!Q78</x:f>
        <x:v>0</x:v>
      </x:c>
      <x:c r="V77" s="52" t="n">
        <x:f>O77*'Curve'!R78</x:f>
        <x:v>0</x:v>
      </x:c>
      <x:c r="W77" s="52" t="n">
        <x:f>L77*'Curve'!J78</x:f>
        <x:v>0</x:v>
      </x:c>
    </x:row>
    <x:row r="78" ht="20" customHeight="1">
      <x:c r="A78" s="2"/>
      <x:c r="B78" s="2"/>
      <x:c r="C78" s="2" t="n">
        <x:v>73</x:v>
      </x:c>
      <x:c r="D78" s="46" t="n">
        <x:f>IF(C78+'Sources'!$I$49-1&gt;='Controls'!$F$7,1,INDEX('Sources'!$D$15:$D$134,C78+'Sources'!$I$49))</x:f>
        <x:v>1</x:v>
      </x:c>
      <x:c r="E78" s="46" t="n">
        <x:f>IF(C78+'Sources'!$I$50-1&gt;='Controls'!$F$7,1,INDEX('Sources'!$E$15:$E$134,C78+'Sources'!$I$50))</x:f>
        <x:v>1</x:v>
      </x:c>
      <x:c r="F78" s="46" t="n">
        <x:f>IF(C78+'Sources'!$I$51-1&gt;='Controls'!$F$7,1,INDEX('Sources'!$D$15:$D$134,C78+'Sources'!$I$51))</x:f>
        <x:v>1</x:v>
      </x:c>
      <x:c r="G78" s="46" t="n">
        <x:f>IF(C78+'Sources'!$I$52-1&gt;='Controls'!$F$7,1,INDEX('Sources'!$E$15:$E$134,C78+'Sources'!$I$52))</x:f>
        <x:v>1</x:v>
      </x:c>
      <x:c r="H78" s="20" t="n">
        <x:f>H77*(1-D78)^'Controls'!$F$6</x:f>
        <x:v>0</x:v>
      </x:c>
      <x:c r="I78" s="20" t="n">
        <x:f>I77*(1-E78)^'Controls'!$F$6</x:f>
        <x:v>0</x:v>
      </x:c>
      <x:c r="J78" s="20" t="n">
        <x:f>J77*(1-F78)^'Controls'!$F$6</x:f>
        <x:v>0</x:v>
      </x:c>
      <x:c r="K78" s="20" t="n">
        <x:f>K77*(1-G78)^'Controls'!$F$6</x:f>
        <x:v>0</x:v>
      </x:c>
      <x:c r="L78" s="52" t="n">
        <x:f>'Controls'!$F$5*(H78*'Sources'!$J$49+I78*'Sources'!$J$50+J78*'Sources'!$J$51+K78*'Sources'!$J$52)</x:f>
        <x:v>0</x:v>
      </x:c>
      <x:c r="M78" s="53" t="n">
        <x:f>'Curve'!M79</x:f>
        <x:v>0.06651149277420378</x:v>
      </x:c>
      <x:c r="N78" s="21" t="n">
        <x:f>L78*M78</x:f>
        <x:v>0</x:v>
      </x:c>
      <x:c r="O78" s="21" t="n">
        <x:f>C78*N78</x:f>
        <x:v>0</x:v>
      </x:c>
      <x:c r="P78" s="21" t="n">
        <x:f>C78*O78</x:f>
        <x:v>0</x:v>
      </x:c>
      <x:c r="Q78" s="21" t="n">
        <x:f>IF(C78&gt;30,N78,0)</x:f>
        <x:v>0</x:v>
      </x:c>
      <x:c r="R78" s="52" t="n">
        <x:f>O78*'Curve'!N79</x:f>
        <x:v>0</x:v>
      </x:c>
      <x:c r="S78" s="52" t="n">
        <x:f>O78*'Curve'!O79</x:f>
        <x:v>0</x:v>
      </x:c>
      <x:c r="T78" s="52" t="n">
        <x:f>O78*'Curve'!P79</x:f>
        <x:v>0</x:v>
      </x:c>
      <x:c r="U78" s="52" t="n">
        <x:f>O78*'Curve'!Q79</x:f>
        <x:v>0</x:v>
      </x:c>
      <x:c r="V78" s="52" t="n">
        <x:f>O78*'Curve'!R79</x:f>
        <x:v>0</x:v>
      </x:c>
      <x:c r="W78" s="52" t="n">
        <x:f>L78*'Curve'!J79</x:f>
        <x:v>0</x:v>
      </x:c>
    </x:row>
    <x:row r="79" ht="20" customHeight="1">
      <x:c r="A79" s="2"/>
      <x:c r="B79" s="2"/>
      <x:c r="C79" s="2" t="n">
        <x:v>74</x:v>
      </x:c>
      <x:c r="D79" s="46" t="n">
        <x:f>IF(C79+'Sources'!$I$49-1&gt;='Controls'!$F$7,1,INDEX('Sources'!$D$15:$D$134,C79+'Sources'!$I$49))</x:f>
        <x:v>1</x:v>
      </x:c>
      <x:c r="E79" s="46" t="n">
        <x:f>IF(C79+'Sources'!$I$50-1&gt;='Controls'!$F$7,1,INDEX('Sources'!$E$15:$E$134,C79+'Sources'!$I$50))</x:f>
        <x:v>1</x:v>
      </x:c>
      <x:c r="F79" s="46" t="n">
        <x:f>IF(C79+'Sources'!$I$51-1&gt;='Controls'!$F$7,1,INDEX('Sources'!$D$15:$D$134,C79+'Sources'!$I$51))</x:f>
        <x:v>1</x:v>
      </x:c>
      <x:c r="G79" s="46" t="n">
        <x:f>IF(C79+'Sources'!$I$52-1&gt;='Controls'!$F$7,1,INDEX('Sources'!$E$15:$E$134,C79+'Sources'!$I$52))</x:f>
        <x:v>1</x:v>
      </x:c>
      <x:c r="H79" s="20" t="n">
        <x:f>H78*(1-D79)^'Controls'!$F$6</x:f>
        <x:v>0</x:v>
      </x:c>
      <x:c r="I79" s="20" t="n">
        <x:f>I78*(1-E79)^'Controls'!$F$6</x:f>
        <x:v>0</x:v>
      </x:c>
      <x:c r="J79" s="20" t="n">
        <x:f>J78*(1-F79)^'Controls'!$F$6</x:f>
        <x:v>0</x:v>
      </x:c>
      <x:c r="K79" s="20" t="n">
        <x:f>K78*(1-G79)^'Controls'!$F$6</x:f>
        <x:v>0</x:v>
      </x:c>
      <x:c r="L79" s="52" t="n">
        <x:f>'Controls'!$F$5*(H79*'Sources'!$J$49+I79*'Sources'!$J$50+J79*'Sources'!$J$51+K79*'Sources'!$J$52)</x:f>
        <x:v>0</x:v>
      </x:c>
      <x:c r="M79" s="53" t="n">
        <x:f>'Curve'!M80</x:f>
        <x:v>0.06601987855978156</x:v>
      </x:c>
      <x:c r="N79" s="21" t="n">
        <x:f>L79*M79</x:f>
        <x:v>0</x:v>
      </x:c>
      <x:c r="O79" s="21" t="n">
        <x:f>C79*N79</x:f>
        <x:v>0</x:v>
      </x:c>
      <x:c r="P79" s="21" t="n">
        <x:f>C79*O79</x:f>
        <x:v>0</x:v>
      </x:c>
      <x:c r="Q79" s="21" t="n">
        <x:f>IF(C79&gt;30,N79,0)</x:f>
        <x:v>0</x:v>
      </x:c>
      <x:c r="R79" s="52" t="n">
        <x:f>O79*'Curve'!N80</x:f>
        <x:v>0</x:v>
      </x:c>
      <x:c r="S79" s="52" t="n">
        <x:f>O79*'Curve'!O80</x:f>
        <x:v>0</x:v>
      </x:c>
      <x:c r="T79" s="52" t="n">
        <x:f>O79*'Curve'!P80</x:f>
        <x:v>0</x:v>
      </x:c>
      <x:c r="U79" s="52" t="n">
        <x:f>O79*'Curve'!Q80</x:f>
        <x:v>0</x:v>
      </x:c>
      <x:c r="V79" s="52" t="n">
        <x:f>O79*'Curve'!R80</x:f>
        <x:v>0</x:v>
      </x:c>
      <x:c r="W79" s="52" t="n">
        <x:f>L79*'Curve'!J80</x:f>
        <x:v>0</x:v>
      </x:c>
    </x:row>
    <x:row r="80" ht="20" customHeight="1">
      <x:c r="A80" s="2"/>
      <x:c r="B80" s="2"/>
      <x:c r="C80" s="2" t="n">
        <x:v>75</x:v>
      </x:c>
      <x:c r="D80" s="46" t="n">
        <x:f>IF(C80+'Sources'!$I$49-1&gt;='Controls'!$F$7,1,INDEX('Sources'!$D$15:$D$134,C80+'Sources'!$I$49))</x:f>
        <x:v>1</x:v>
      </x:c>
      <x:c r="E80" s="46" t="n">
        <x:f>IF(C80+'Sources'!$I$50-1&gt;='Controls'!$F$7,1,INDEX('Sources'!$E$15:$E$134,C80+'Sources'!$I$50))</x:f>
        <x:v>1</x:v>
      </x:c>
      <x:c r="F80" s="46" t="n">
        <x:f>IF(C80+'Sources'!$I$51-1&gt;='Controls'!$F$7,1,INDEX('Sources'!$D$15:$D$134,C80+'Sources'!$I$51))</x:f>
        <x:v>1</x:v>
      </x:c>
      <x:c r="G80" s="46" t="n">
        <x:f>IF(C80+'Sources'!$I$52-1&gt;='Controls'!$F$7,1,INDEX('Sources'!$E$15:$E$134,C80+'Sources'!$I$52))</x:f>
        <x:v>1</x:v>
      </x:c>
      <x:c r="H80" s="20" t="n">
        <x:f>H79*(1-D80)^'Controls'!$F$6</x:f>
        <x:v>0</x:v>
      </x:c>
      <x:c r="I80" s="20" t="n">
        <x:f>I79*(1-E80)^'Controls'!$F$6</x:f>
        <x:v>0</x:v>
      </x:c>
      <x:c r="J80" s="20" t="n">
        <x:f>J79*(1-F80)^'Controls'!$F$6</x:f>
        <x:v>0</x:v>
      </x:c>
      <x:c r="K80" s="20" t="n">
        <x:f>K79*(1-G80)^'Controls'!$F$6</x:f>
        <x:v>0</x:v>
      </x:c>
      <x:c r="L80" s="52" t="n">
        <x:f>'Controls'!$F$5*(H80*'Sources'!$J$49+I80*'Sources'!$J$50+J80*'Sources'!$J$51+K80*'Sources'!$J$52)</x:f>
        <x:v>0</x:v>
      </x:c>
      <x:c r="M80" s="53" t="n">
        <x:f>'Curve'!M81</x:f>
        <x:v>0.06555569162403549</x:v>
      </x:c>
      <x:c r="N80" s="21" t="n">
        <x:f>L80*M80</x:f>
        <x:v>0</x:v>
      </x:c>
      <x:c r="O80" s="21" t="n">
        <x:f>C80*N80</x:f>
        <x:v>0</x:v>
      </x:c>
      <x:c r="P80" s="21" t="n">
        <x:f>C80*O80</x:f>
        <x:v>0</x:v>
      </x:c>
      <x:c r="Q80" s="21" t="n">
        <x:f>IF(C80&gt;30,N80,0)</x:f>
        <x:v>0</x:v>
      </x:c>
      <x:c r="R80" s="52" t="n">
        <x:f>O80*'Curve'!N81</x:f>
        <x:v>0</x:v>
      </x:c>
      <x:c r="S80" s="52" t="n">
        <x:f>O80*'Curve'!O81</x:f>
        <x:v>0</x:v>
      </x:c>
      <x:c r="T80" s="52" t="n">
        <x:f>O80*'Curve'!P81</x:f>
        <x:v>0</x:v>
      </x:c>
      <x:c r="U80" s="52" t="n">
        <x:f>O80*'Curve'!Q81</x:f>
        <x:v>0</x:v>
      </x:c>
      <x:c r="V80" s="52" t="n">
        <x:f>O80*'Curve'!R81</x:f>
        <x:v>0</x:v>
      </x:c>
      <x:c r="W80" s="52" t="n">
        <x:f>L80*'Curve'!J81</x:f>
        <x:v>0</x:v>
      </x:c>
    </x:row>
    <x:row r="81" ht="20" customHeight="1">
      <x:c r="A81" s="2"/>
      <x:c r="B81" s="2"/>
      <x:c r="C81" s="2" t="n">
        <x:v>76</x:v>
      </x:c>
      <x:c r="D81" s="46" t="n">
        <x:f>IF(C81+'Sources'!$I$49-1&gt;='Controls'!$F$7,1,INDEX('Sources'!$D$15:$D$134,C81+'Sources'!$I$49))</x:f>
        <x:v>1</x:v>
      </x:c>
      <x:c r="E81" s="46" t="n">
        <x:f>IF(C81+'Sources'!$I$50-1&gt;='Controls'!$F$7,1,INDEX('Sources'!$E$15:$E$134,C81+'Sources'!$I$50))</x:f>
        <x:v>1</x:v>
      </x:c>
      <x:c r="F81" s="46" t="n">
        <x:f>IF(C81+'Sources'!$I$51-1&gt;='Controls'!$F$7,1,INDEX('Sources'!$D$15:$D$134,C81+'Sources'!$I$51))</x:f>
        <x:v>1</x:v>
      </x:c>
      <x:c r="G81" s="46" t="n">
        <x:f>IF(C81+'Sources'!$I$52-1&gt;='Controls'!$F$7,1,INDEX('Sources'!$E$15:$E$134,C81+'Sources'!$I$52))</x:f>
        <x:v>1</x:v>
      </x:c>
      <x:c r="H81" s="20" t="n">
        <x:f>H80*(1-D81)^'Controls'!$F$6</x:f>
        <x:v>0</x:v>
      </x:c>
      <x:c r="I81" s="20" t="n">
        <x:f>I80*(1-E81)^'Controls'!$F$6</x:f>
        <x:v>0</x:v>
      </x:c>
      <x:c r="J81" s="20" t="n">
        <x:f>J80*(1-F81)^'Controls'!$F$6</x:f>
        <x:v>0</x:v>
      </x:c>
      <x:c r="K81" s="20" t="n">
        <x:f>K80*(1-G81)^'Controls'!$F$6</x:f>
        <x:v>0</x:v>
      </x:c>
      <x:c r="L81" s="52" t="n">
        <x:f>'Controls'!$F$5*(H81*'Sources'!$J$49+I81*'Sources'!$J$50+J81*'Sources'!$J$51+K81*'Sources'!$J$52)</x:f>
        <x:v>0</x:v>
      </x:c>
      <x:c r="M81" s="53" t="n">
        <x:f>'Curve'!M82</x:f>
        <x:v>0.06511732528346126</x:v>
      </x:c>
      <x:c r="N81" s="21" t="n">
        <x:f>L81*M81</x:f>
        <x:v>0</x:v>
      </x:c>
      <x:c r="O81" s="21" t="n">
        <x:f>C81*N81</x:f>
        <x:v>0</x:v>
      </x:c>
      <x:c r="P81" s="21" t="n">
        <x:f>C81*O81</x:f>
        <x:v>0</x:v>
      </x:c>
      <x:c r="Q81" s="21" t="n">
        <x:f>IF(C81&gt;30,N81,0)</x:f>
        <x:v>0</x:v>
      </x:c>
      <x:c r="R81" s="52" t="n">
        <x:f>O81*'Curve'!N82</x:f>
        <x:v>0</x:v>
      </x:c>
      <x:c r="S81" s="52" t="n">
        <x:f>O81*'Curve'!O82</x:f>
        <x:v>0</x:v>
      </x:c>
      <x:c r="T81" s="52" t="n">
        <x:f>O81*'Curve'!P82</x:f>
        <x:v>0</x:v>
      </x:c>
      <x:c r="U81" s="52" t="n">
        <x:f>O81*'Curve'!Q82</x:f>
        <x:v>0</x:v>
      </x:c>
      <x:c r="V81" s="52" t="n">
        <x:f>O81*'Curve'!R82</x:f>
        <x:v>0</x:v>
      </x:c>
      <x:c r="W81" s="52" t="n">
        <x:f>L81*'Curve'!J82</x:f>
        <x:v>0</x:v>
      </x:c>
    </x:row>
    <x:row r="82" ht="20" customHeight="1">
      <x:c r="A82" s="2"/>
      <x:c r="B82" s="2"/>
      <x:c r="C82" s="2" t="n">
        <x:v>77</x:v>
      </x:c>
      <x:c r="D82" s="46" t="n">
        <x:f>IF(C82+'Sources'!$I$49-1&gt;='Controls'!$F$7,1,INDEX('Sources'!$D$15:$D$134,C82+'Sources'!$I$49))</x:f>
        <x:v>1</x:v>
      </x:c>
      <x:c r="E82" s="46" t="n">
        <x:f>IF(C82+'Sources'!$I$50-1&gt;='Controls'!$F$7,1,INDEX('Sources'!$E$15:$E$134,C82+'Sources'!$I$50))</x:f>
        <x:v>1</x:v>
      </x:c>
      <x:c r="F82" s="46" t="n">
        <x:f>IF(C82+'Sources'!$I$51-1&gt;='Controls'!$F$7,1,INDEX('Sources'!$D$15:$D$134,C82+'Sources'!$I$51))</x:f>
        <x:v>1</x:v>
      </x:c>
      <x:c r="G82" s="46" t="n">
        <x:f>IF(C82+'Sources'!$I$52-1&gt;='Controls'!$F$7,1,INDEX('Sources'!$E$15:$E$134,C82+'Sources'!$I$52))</x:f>
        <x:v>1</x:v>
      </x:c>
      <x:c r="H82" s="20" t="n">
        <x:f>H81*(1-D82)^'Controls'!$F$6</x:f>
        <x:v>0</x:v>
      </x:c>
      <x:c r="I82" s="20" t="n">
        <x:f>I81*(1-E82)^'Controls'!$F$6</x:f>
        <x:v>0</x:v>
      </x:c>
      <x:c r="J82" s="20" t="n">
        <x:f>J81*(1-F82)^'Controls'!$F$6</x:f>
        <x:v>0</x:v>
      </x:c>
      <x:c r="K82" s="20" t="n">
        <x:f>K81*(1-G82)^'Controls'!$F$6</x:f>
        <x:v>0</x:v>
      </x:c>
      <x:c r="L82" s="52" t="n">
        <x:f>'Controls'!$F$5*(H82*'Sources'!$J$49+I82*'Sources'!$J$50+J82*'Sources'!$J$51+K82*'Sources'!$J$52)</x:f>
        <x:v>0</x:v>
      </x:c>
      <x:c r="M82" s="53" t="n">
        <x:f>'Curve'!M83</x:f>
        <x:v>0.06470327574511259</x:v>
      </x:c>
      <x:c r="N82" s="21" t="n">
        <x:f>L82*M82</x:f>
        <x:v>0</x:v>
      </x:c>
      <x:c r="O82" s="21" t="n">
        <x:f>C82*N82</x:f>
        <x:v>0</x:v>
      </x:c>
      <x:c r="P82" s="21" t="n">
        <x:f>C82*O82</x:f>
        <x:v>0</x:v>
      </x:c>
      <x:c r="Q82" s="21" t="n">
        <x:f>IF(C82&gt;30,N82,0)</x:f>
        <x:v>0</x:v>
      </x:c>
      <x:c r="R82" s="52" t="n">
        <x:f>O82*'Curve'!N83</x:f>
        <x:v>0</x:v>
      </x:c>
      <x:c r="S82" s="52" t="n">
        <x:f>O82*'Curve'!O83</x:f>
        <x:v>0</x:v>
      </x:c>
      <x:c r="T82" s="52" t="n">
        <x:f>O82*'Curve'!P83</x:f>
        <x:v>0</x:v>
      </x:c>
      <x:c r="U82" s="52" t="n">
        <x:f>O82*'Curve'!Q83</x:f>
        <x:v>0</x:v>
      </x:c>
      <x:c r="V82" s="52" t="n">
        <x:f>O82*'Curve'!R83</x:f>
        <x:v>0</x:v>
      </x:c>
      <x:c r="W82" s="52" t="n">
        <x:f>L82*'Curve'!J83</x:f>
        <x:v>0</x:v>
      </x:c>
    </x:row>
    <x:row r="83" ht="20" customHeight="1">
      <x:c r="A83" s="2"/>
      <x:c r="B83" s="2"/>
      <x:c r="C83" s="2" t="n">
        <x:v>78</x:v>
      </x:c>
      <x:c r="D83" s="46" t="n">
        <x:f>IF(C83+'Sources'!$I$49-1&gt;='Controls'!$F$7,1,INDEX('Sources'!$D$15:$D$134,C83+'Sources'!$I$49))</x:f>
        <x:v>1</x:v>
      </x:c>
      <x:c r="E83" s="46" t="n">
        <x:f>IF(C83+'Sources'!$I$50-1&gt;='Controls'!$F$7,1,INDEX('Sources'!$E$15:$E$134,C83+'Sources'!$I$50))</x:f>
        <x:v>1</x:v>
      </x:c>
      <x:c r="F83" s="46" t="n">
        <x:f>IF(C83+'Sources'!$I$51-1&gt;='Controls'!$F$7,1,INDEX('Sources'!$D$15:$D$134,C83+'Sources'!$I$51))</x:f>
        <x:v>1</x:v>
      </x:c>
      <x:c r="G83" s="46" t="n">
        <x:f>IF(C83+'Sources'!$I$52-1&gt;='Controls'!$F$7,1,INDEX('Sources'!$E$15:$E$134,C83+'Sources'!$I$52))</x:f>
        <x:v>1</x:v>
      </x:c>
      <x:c r="H83" s="20" t="n">
        <x:f>H82*(1-D83)^'Controls'!$F$6</x:f>
        <x:v>0</x:v>
      </x:c>
      <x:c r="I83" s="20" t="n">
        <x:f>I82*(1-E83)^'Controls'!$F$6</x:f>
        <x:v>0</x:v>
      </x:c>
      <x:c r="J83" s="20" t="n">
        <x:f>J82*(1-F83)^'Controls'!$F$6</x:f>
        <x:v>0</x:v>
      </x:c>
      <x:c r="K83" s="20" t="n">
        <x:f>K82*(1-G83)^'Controls'!$F$6</x:f>
        <x:v>0</x:v>
      </x:c>
      <x:c r="L83" s="52" t="n">
        <x:f>'Controls'!$F$5*(H83*'Sources'!$J$49+I83*'Sources'!$J$50+J83*'Sources'!$J$51+K83*'Sources'!$J$52)</x:f>
        <x:v>0</x:v>
      </x:c>
      <x:c r="M83" s="53" t="n">
        <x:f>'Curve'!M84</x:f>
        <x:v>0.0643121346532458</x:v>
      </x:c>
      <x:c r="N83" s="21" t="n">
        <x:f>L83*M83</x:f>
        <x:v>0</x:v>
      </x:c>
      <x:c r="O83" s="21" t="n">
        <x:f>C83*N83</x:f>
        <x:v>0</x:v>
      </x:c>
      <x:c r="P83" s="21" t="n">
        <x:f>C83*O83</x:f>
        <x:v>0</x:v>
      </x:c>
      <x:c r="Q83" s="21" t="n">
        <x:f>IF(C83&gt;30,N83,0)</x:f>
        <x:v>0</x:v>
      </x:c>
      <x:c r="R83" s="52" t="n">
        <x:f>O83*'Curve'!N84</x:f>
        <x:v>0</x:v>
      </x:c>
      <x:c r="S83" s="52" t="n">
        <x:f>O83*'Curve'!O84</x:f>
        <x:v>0</x:v>
      </x:c>
      <x:c r="T83" s="52" t="n">
        <x:f>O83*'Curve'!P84</x:f>
        <x:v>0</x:v>
      </x:c>
      <x:c r="U83" s="52" t="n">
        <x:f>O83*'Curve'!Q84</x:f>
        <x:v>0</x:v>
      </x:c>
      <x:c r="V83" s="52" t="n">
        <x:f>O83*'Curve'!R84</x:f>
        <x:v>0</x:v>
      </x:c>
      <x:c r="W83" s="52" t="n">
        <x:f>L83*'Curve'!J84</x:f>
        <x:v>0</x:v>
      </x:c>
    </x:row>
    <x:row r="84" ht="20" customHeight="1">
      <x:c r="A84" s="2"/>
      <x:c r="B84" s="2"/>
      <x:c r="C84" s="2" t="n">
        <x:v>79</x:v>
      </x:c>
      <x:c r="D84" s="46" t="n">
        <x:f>IF(C84+'Sources'!$I$49-1&gt;='Controls'!$F$7,1,INDEX('Sources'!$D$15:$D$134,C84+'Sources'!$I$49))</x:f>
        <x:v>1</x:v>
      </x:c>
      <x:c r="E84" s="46" t="n">
        <x:f>IF(C84+'Sources'!$I$50-1&gt;='Controls'!$F$7,1,INDEX('Sources'!$E$15:$E$134,C84+'Sources'!$I$50))</x:f>
        <x:v>1</x:v>
      </x:c>
      <x:c r="F84" s="46" t="n">
        <x:f>IF(C84+'Sources'!$I$51-1&gt;='Controls'!$F$7,1,INDEX('Sources'!$D$15:$D$134,C84+'Sources'!$I$51))</x:f>
        <x:v>1</x:v>
      </x:c>
      <x:c r="G84" s="46" t="n">
        <x:f>IF(C84+'Sources'!$I$52-1&gt;='Controls'!$F$7,1,INDEX('Sources'!$E$15:$E$134,C84+'Sources'!$I$52))</x:f>
        <x:v>1</x:v>
      </x:c>
      <x:c r="H84" s="20" t="n">
        <x:f>H83*(1-D84)^'Controls'!$F$6</x:f>
        <x:v>0</x:v>
      </x:c>
      <x:c r="I84" s="20" t="n">
        <x:f>I83*(1-E84)^'Controls'!$F$6</x:f>
        <x:v>0</x:v>
      </x:c>
      <x:c r="J84" s="20" t="n">
        <x:f>J83*(1-F84)^'Controls'!$F$6</x:f>
        <x:v>0</x:v>
      </x:c>
      <x:c r="K84" s="20" t="n">
        <x:f>K83*(1-G84)^'Controls'!$F$6</x:f>
        <x:v>0</x:v>
      </x:c>
      <x:c r="L84" s="52" t="n">
        <x:f>'Controls'!$F$5*(H84*'Sources'!$J$49+I84*'Sources'!$J$50+J84*'Sources'!$J$51+K84*'Sources'!$J$52)</x:f>
        <x:v>0</x:v>
      </x:c>
      <x:c r="M84" s="53" t="n">
        <x:f>'Curve'!M85</x:f>
        <x:v>0.06394258224918539</x:v>
      </x:c>
      <x:c r="N84" s="21" t="n">
        <x:f>L84*M84</x:f>
        <x:v>0</x:v>
      </x:c>
      <x:c r="O84" s="21" t="n">
        <x:f>C84*N84</x:f>
        <x:v>0</x:v>
      </x:c>
      <x:c r="P84" s="21" t="n">
        <x:f>C84*O84</x:f>
        <x:v>0</x:v>
      </x:c>
      <x:c r="Q84" s="21" t="n">
        <x:f>IF(C84&gt;30,N84,0)</x:f>
        <x:v>0</x:v>
      </x:c>
      <x:c r="R84" s="52" t="n">
        <x:f>O84*'Curve'!N85</x:f>
        <x:v>0</x:v>
      </x:c>
      <x:c r="S84" s="52" t="n">
        <x:f>O84*'Curve'!O85</x:f>
        <x:v>0</x:v>
      </x:c>
      <x:c r="T84" s="52" t="n">
        <x:f>O84*'Curve'!P85</x:f>
        <x:v>0</x:v>
      </x:c>
      <x:c r="U84" s="52" t="n">
        <x:f>O84*'Curve'!Q85</x:f>
        <x:v>0</x:v>
      </x:c>
      <x:c r="V84" s="52" t="n">
        <x:f>O84*'Curve'!R85</x:f>
        <x:v>0</x:v>
      </x:c>
      <x:c r="W84" s="52" t="n">
        <x:f>L84*'Curve'!J85</x:f>
        <x:v>0</x:v>
      </x:c>
    </x:row>
    <x:row r="85" ht="20" customHeight="1">
      <x:c r="A85" s="2"/>
      <x:c r="B85" s="2"/>
      <x:c r="C85" s="2" t="n">
        <x:v>80</x:v>
      </x:c>
      <x:c r="D85" s="46" t="n">
        <x:f>IF(C85+'Sources'!$I$49-1&gt;='Controls'!$F$7,1,INDEX('Sources'!$D$15:$D$134,C85+'Sources'!$I$49))</x:f>
        <x:v>1</x:v>
      </x:c>
      <x:c r="E85" s="46" t="n">
        <x:f>IF(C85+'Sources'!$I$50-1&gt;='Controls'!$F$7,1,INDEX('Sources'!$E$15:$E$134,C85+'Sources'!$I$50))</x:f>
        <x:v>1</x:v>
      </x:c>
      <x:c r="F85" s="46" t="n">
        <x:f>IF(C85+'Sources'!$I$51-1&gt;='Controls'!$F$7,1,INDEX('Sources'!$D$15:$D$134,C85+'Sources'!$I$51))</x:f>
        <x:v>1</x:v>
      </x:c>
      <x:c r="G85" s="46" t="n">
        <x:f>IF(C85+'Sources'!$I$52-1&gt;='Controls'!$F$7,1,INDEX('Sources'!$E$15:$E$134,C85+'Sources'!$I$52))</x:f>
        <x:v>1</x:v>
      </x:c>
      <x:c r="H85" s="20" t="n">
        <x:f>H84*(1-D85)^'Controls'!$F$6</x:f>
        <x:v>0</x:v>
      </x:c>
      <x:c r="I85" s="20" t="n">
        <x:f>I84*(1-E85)^'Controls'!$F$6</x:f>
        <x:v>0</x:v>
      </x:c>
      <x:c r="J85" s="20" t="n">
        <x:f>J84*(1-F85)^'Controls'!$F$6</x:f>
        <x:v>0</x:v>
      </x:c>
      <x:c r="K85" s="20" t="n">
        <x:f>K84*(1-G85)^'Controls'!$F$6</x:f>
        <x:v>0</x:v>
      </x:c>
      <x:c r="L85" s="52" t="n">
        <x:f>'Controls'!$F$5*(H85*'Sources'!$J$49+I85*'Sources'!$J$50+J85*'Sources'!$J$51+K85*'Sources'!$J$52)</x:f>
        <x:v>0</x:v>
      </x:c>
      <x:c r="M85" s="53" t="n">
        <x:f>'Curve'!M86</x:f>
        <x:v>0.0635933810886511</x:v>
      </x:c>
      <x:c r="N85" s="21" t="n">
        <x:f>L85*M85</x:f>
        <x:v>0</x:v>
      </x:c>
      <x:c r="O85" s="21" t="n">
        <x:f>C85*N85</x:f>
        <x:v>0</x:v>
      </x:c>
      <x:c r="P85" s="21" t="n">
        <x:f>C85*O85</x:f>
        <x:v>0</x:v>
      </x:c>
      <x:c r="Q85" s="21" t="n">
        <x:f>IF(C85&gt;30,N85,0)</x:f>
        <x:v>0</x:v>
      </x:c>
      <x:c r="R85" s="52" t="n">
        <x:f>O85*'Curve'!N86</x:f>
        <x:v>0</x:v>
      </x:c>
      <x:c r="S85" s="52" t="n">
        <x:f>O85*'Curve'!O86</x:f>
        <x:v>0</x:v>
      </x:c>
      <x:c r="T85" s="52" t="n">
        <x:f>O85*'Curve'!P86</x:f>
        <x:v>0</x:v>
      </x:c>
      <x:c r="U85" s="52" t="n">
        <x:f>O85*'Curve'!Q86</x:f>
        <x:v>0</x:v>
      </x:c>
      <x:c r="V85" s="52" t="n">
        <x:f>O85*'Curve'!R86</x:f>
        <x:v>0</x:v>
      </x:c>
      <x:c r="W85" s="52" t="n">
        <x:f>L85*'Curve'!J86</x:f>
        <x:v>0</x:v>
      </x:c>
    </x:row>
    <x:row r="86" ht="20" customHeight="1">
      <x:c r="A86" s="2"/>
      <x:c r="B86" s="2"/>
      <x:c r="C86" s="2" t="n">
        <x:v>81</x:v>
      </x:c>
      <x:c r="D86" s="46" t="n">
        <x:f>IF(C86+'Sources'!$I$49-1&gt;='Controls'!$F$7,1,INDEX('Sources'!$D$15:$D$134,C86+'Sources'!$I$49))</x:f>
        <x:v>1</x:v>
      </x:c>
      <x:c r="E86" s="46" t="n">
        <x:f>IF(C86+'Sources'!$I$50-1&gt;='Controls'!$F$7,1,INDEX('Sources'!$E$15:$E$134,C86+'Sources'!$I$50))</x:f>
        <x:v>1</x:v>
      </x:c>
      <x:c r="F86" s="46" t="n">
        <x:f>IF(C86+'Sources'!$I$51-1&gt;='Controls'!$F$7,1,INDEX('Sources'!$D$15:$D$134,C86+'Sources'!$I$51))</x:f>
        <x:v>1</x:v>
      </x:c>
      <x:c r="G86" s="46" t="n">
        <x:f>IF(C86+'Sources'!$I$52-1&gt;='Controls'!$F$7,1,INDEX('Sources'!$E$15:$E$134,C86+'Sources'!$I$52))</x:f>
        <x:v>1</x:v>
      </x:c>
      <x:c r="H86" s="20" t="n">
        <x:f>H85*(1-D86)^'Controls'!$F$6</x:f>
        <x:v>0</x:v>
      </x:c>
      <x:c r="I86" s="20" t="n">
        <x:f>I85*(1-E86)^'Controls'!$F$6</x:f>
        <x:v>0</x:v>
      </x:c>
      <x:c r="J86" s="20" t="n">
        <x:f>J85*(1-F86)^'Controls'!$F$6</x:f>
        <x:v>0</x:v>
      </x:c>
      <x:c r="K86" s="20" t="n">
        <x:f>K85*(1-G86)^'Controls'!$F$6</x:f>
        <x:v>0</x:v>
      </x:c>
      <x:c r="L86" s="52" t="n">
        <x:f>'Controls'!$F$5*(H86*'Sources'!$J$49+I86*'Sources'!$J$50+J86*'Sources'!$J$51+K86*'Sources'!$J$52)</x:f>
        <x:v>0</x:v>
      </x:c>
      <x:c r="M86" s="53" t="n">
        <x:f>'Curve'!M87</x:f>
        <x:v>0.06326337026619257</x:v>
      </x:c>
      <x:c r="N86" s="21" t="n">
        <x:f>L86*M86</x:f>
        <x:v>0</x:v>
      </x:c>
      <x:c r="O86" s="21" t="n">
        <x:f>C86*N86</x:f>
        <x:v>0</x:v>
      </x:c>
      <x:c r="P86" s="21" t="n">
        <x:f>C86*O86</x:f>
        <x:v>0</x:v>
      </x:c>
      <x:c r="Q86" s="21" t="n">
        <x:f>IF(C86&gt;30,N86,0)</x:f>
        <x:v>0</x:v>
      </x:c>
      <x:c r="R86" s="52" t="n">
        <x:f>O86*'Curve'!N87</x:f>
        <x:v>0</x:v>
      </x:c>
      <x:c r="S86" s="52" t="n">
        <x:f>O86*'Curve'!O87</x:f>
        <x:v>0</x:v>
      </x:c>
      <x:c r="T86" s="52" t="n">
        <x:f>O86*'Curve'!P87</x:f>
        <x:v>0</x:v>
      </x:c>
      <x:c r="U86" s="52" t="n">
        <x:f>O86*'Curve'!Q87</x:f>
        <x:v>0</x:v>
      </x:c>
      <x:c r="V86" s="52" t="n">
        <x:f>O86*'Curve'!R87</x:f>
        <x:v>0</x:v>
      </x:c>
      <x:c r="W86" s="52" t="n">
        <x:f>L86*'Curve'!J87</x:f>
        <x:v>0</x:v>
      </x:c>
    </x:row>
    <x:row r="87" ht="20" customHeight="1">
      <x:c r="A87" s="2"/>
      <x:c r="B87" s="2"/>
      <x:c r="C87" s="2" t="n">
        <x:v>82</x:v>
      </x:c>
      <x:c r="D87" s="46" t="n">
        <x:f>IF(C87+'Sources'!$I$49-1&gt;='Controls'!$F$7,1,INDEX('Sources'!$D$15:$D$134,C87+'Sources'!$I$49))</x:f>
        <x:v>1</x:v>
      </x:c>
      <x:c r="E87" s="46" t="n">
        <x:f>IF(C87+'Sources'!$I$50-1&gt;='Controls'!$F$7,1,INDEX('Sources'!$E$15:$E$134,C87+'Sources'!$I$50))</x:f>
        <x:v>1</x:v>
      </x:c>
      <x:c r="F87" s="46" t="n">
        <x:f>IF(C87+'Sources'!$I$51-1&gt;='Controls'!$F$7,1,INDEX('Sources'!$D$15:$D$134,C87+'Sources'!$I$51))</x:f>
        <x:v>1</x:v>
      </x:c>
      <x:c r="G87" s="46" t="n">
        <x:f>IF(C87+'Sources'!$I$52-1&gt;='Controls'!$F$7,1,INDEX('Sources'!$E$15:$E$134,C87+'Sources'!$I$52))</x:f>
        <x:v>1</x:v>
      </x:c>
      <x:c r="H87" s="20" t="n">
        <x:f>H86*(1-D87)^'Controls'!$F$6</x:f>
        <x:v>0</x:v>
      </x:c>
      <x:c r="I87" s="20" t="n">
        <x:f>I86*(1-E87)^'Controls'!$F$6</x:f>
        <x:v>0</x:v>
      </x:c>
      <x:c r="J87" s="20" t="n">
        <x:f>J86*(1-F87)^'Controls'!$F$6</x:f>
        <x:v>0</x:v>
      </x:c>
      <x:c r="K87" s="20" t="n">
        <x:f>K86*(1-G87)^'Controls'!$F$6</x:f>
        <x:v>0</x:v>
      </x:c>
      <x:c r="L87" s="52" t="n">
        <x:f>'Controls'!$F$5*(H87*'Sources'!$J$49+I87*'Sources'!$J$50+J87*'Sources'!$J$51+K87*'Sources'!$J$52)</x:f>
        <x:v>0</x:v>
      </x:c>
      <x:c r="M87" s="53" t="n">
        <x:f>'Curve'!M88</x:f>
        <x:v>0.06295146010124089</x:v>
      </x:c>
      <x:c r="N87" s="21" t="n">
        <x:f>L87*M87</x:f>
        <x:v>0</x:v>
      </x:c>
      <x:c r="O87" s="21" t="n">
        <x:f>C87*N87</x:f>
        <x:v>0</x:v>
      </x:c>
      <x:c r="P87" s="21" t="n">
        <x:f>C87*O87</x:f>
        <x:v>0</x:v>
      </x:c>
      <x:c r="Q87" s="21" t="n">
        <x:f>IF(C87&gt;30,N87,0)</x:f>
        <x:v>0</x:v>
      </x:c>
      <x:c r="R87" s="52" t="n">
        <x:f>O87*'Curve'!N88</x:f>
        <x:v>0</x:v>
      </x:c>
      <x:c r="S87" s="52" t="n">
        <x:f>O87*'Curve'!O88</x:f>
        <x:v>0</x:v>
      </x:c>
      <x:c r="T87" s="52" t="n">
        <x:f>O87*'Curve'!P88</x:f>
        <x:v>0</x:v>
      </x:c>
      <x:c r="U87" s="52" t="n">
        <x:f>O87*'Curve'!Q88</x:f>
        <x:v>0</x:v>
      </x:c>
      <x:c r="V87" s="52" t="n">
        <x:f>O87*'Curve'!R88</x:f>
        <x:v>0</x:v>
      </x:c>
      <x:c r="W87" s="52" t="n">
        <x:f>L87*'Curve'!J88</x:f>
        <x:v>0</x:v>
      </x:c>
    </x:row>
    <x:row r="88" ht="20" customHeight="1">
      <x:c r="A88" s="2"/>
      <x:c r="B88" s="2"/>
      <x:c r="C88" s="2" t="n">
        <x:v>83</x:v>
      </x:c>
      <x:c r="D88" s="46" t="n">
        <x:f>IF(C88+'Sources'!$I$49-1&gt;='Controls'!$F$7,1,INDEX('Sources'!$D$15:$D$134,C88+'Sources'!$I$49))</x:f>
        <x:v>1</x:v>
      </x:c>
      <x:c r="E88" s="46" t="n">
        <x:f>IF(C88+'Sources'!$I$50-1&gt;='Controls'!$F$7,1,INDEX('Sources'!$E$15:$E$134,C88+'Sources'!$I$50))</x:f>
        <x:v>1</x:v>
      </x:c>
      <x:c r="F88" s="46" t="n">
        <x:f>IF(C88+'Sources'!$I$51-1&gt;='Controls'!$F$7,1,INDEX('Sources'!$D$15:$D$134,C88+'Sources'!$I$51))</x:f>
        <x:v>1</x:v>
      </x:c>
      <x:c r="G88" s="46" t="n">
        <x:f>IF(C88+'Sources'!$I$52-1&gt;='Controls'!$F$7,1,INDEX('Sources'!$E$15:$E$134,C88+'Sources'!$I$52))</x:f>
        <x:v>1</x:v>
      </x:c>
      <x:c r="H88" s="20" t="n">
        <x:f>H87*(1-D88)^'Controls'!$F$6</x:f>
        <x:v>0</x:v>
      </x:c>
      <x:c r="I88" s="20" t="n">
        <x:f>I87*(1-E88)^'Controls'!$F$6</x:f>
        <x:v>0</x:v>
      </x:c>
      <x:c r="J88" s="20" t="n">
        <x:f>J87*(1-F88)^'Controls'!$F$6</x:f>
        <x:v>0</x:v>
      </x:c>
      <x:c r="K88" s="20" t="n">
        <x:f>K87*(1-G88)^'Controls'!$F$6</x:f>
        <x:v>0</x:v>
      </x:c>
      <x:c r="L88" s="52" t="n">
        <x:f>'Controls'!$F$5*(H88*'Sources'!$J$49+I88*'Sources'!$J$50+J88*'Sources'!$J$51+K88*'Sources'!$J$52)</x:f>
        <x:v>0</x:v>
      </x:c>
      <x:c r="M88" s="53" t="n">
        <x:f>'Curve'!M89</x:f>
        <x:v>0.06265662724465931</x:v>
      </x:c>
      <x:c r="N88" s="21" t="n">
        <x:f>L88*M88</x:f>
        <x:v>0</x:v>
      </x:c>
      <x:c r="O88" s="21" t="n">
        <x:f>C88*N88</x:f>
        <x:v>0</x:v>
      </x:c>
      <x:c r="P88" s="21" t="n">
        <x:f>C88*O88</x:f>
        <x:v>0</x:v>
      </x:c>
      <x:c r="Q88" s="21" t="n">
        <x:f>IF(C88&gt;30,N88,0)</x:f>
        <x:v>0</x:v>
      </x:c>
      <x:c r="R88" s="52" t="n">
        <x:f>O88*'Curve'!N89</x:f>
        <x:v>0</x:v>
      </x:c>
      <x:c r="S88" s="52" t="n">
        <x:f>O88*'Curve'!O89</x:f>
        <x:v>0</x:v>
      </x:c>
      <x:c r="T88" s="52" t="n">
        <x:f>O88*'Curve'!P89</x:f>
        <x:v>0</x:v>
      </x:c>
      <x:c r="U88" s="52" t="n">
        <x:f>O88*'Curve'!Q89</x:f>
        <x:v>0</x:v>
      </x:c>
      <x:c r="V88" s="52" t="n">
        <x:f>O88*'Curve'!R89</x:f>
        <x:v>0</x:v>
      </x:c>
      <x:c r="W88" s="52" t="n">
        <x:f>L88*'Curve'!J89</x:f>
        <x:v>0</x:v>
      </x:c>
    </x:row>
    <x:row r="89" ht="20" customHeight="1">
      <x:c r="A89" s="2"/>
      <x:c r="B89" s="2"/>
      <x:c r="C89" s="2" t="n">
        <x:v>84</x:v>
      </x:c>
      <x:c r="D89" s="46" t="n">
        <x:f>IF(C89+'Sources'!$I$49-1&gt;='Controls'!$F$7,1,INDEX('Sources'!$D$15:$D$134,C89+'Sources'!$I$49))</x:f>
        <x:v>1</x:v>
      </x:c>
      <x:c r="E89" s="46" t="n">
        <x:f>IF(C89+'Sources'!$I$50-1&gt;='Controls'!$F$7,1,INDEX('Sources'!$E$15:$E$134,C89+'Sources'!$I$50))</x:f>
        <x:v>1</x:v>
      </x:c>
      <x:c r="F89" s="46" t="n">
        <x:f>IF(C89+'Sources'!$I$51-1&gt;='Controls'!$F$7,1,INDEX('Sources'!$D$15:$D$134,C89+'Sources'!$I$51))</x:f>
        <x:v>1</x:v>
      </x:c>
      <x:c r="G89" s="46" t="n">
        <x:f>IF(C89+'Sources'!$I$52-1&gt;='Controls'!$F$7,1,INDEX('Sources'!$E$15:$E$134,C89+'Sources'!$I$52))</x:f>
        <x:v>1</x:v>
      </x:c>
      <x:c r="H89" s="20" t="n">
        <x:f>H88*(1-D89)^'Controls'!$F$6</x:f>
        <x:v>0</x:v>
      </x:c>
      <x:c r="I89" s="20" t="n">
        <x:f>I88*(1-E89)^'Controls'!$F$6</x:f>
        <x:v>0</x:v>
      </x:c>
      <x:c r="J89" s="20" t="n">
        <x:f>J88*(1-F89)^'Controls'!$F$6</x:f>
        <x:v>0</x:v>
      </x:c>
      <x:c r="K89" s="20" t="n">
        <x:f>K88*(1-G89)^'Controls'!$F$6</x:f>
        <x:v>0</x:v>
      </x:c>
      <x:c r="L89" s="52" t="n">
        <x:f>'Controls'!$F$5*(H89*'Sources'!$J$49+I89*'Sources'!$J$50+J89*'Sources'!$J$51+K89*'Sources'!$J$52)</x:f>
        <x:v>0</x:v>
      </x:c>
      <x:c r="M89" s="53" t="n">
        <x:f>'Curve'!M90</x:f>
        <x:v>0.06237791016861363</x:v>
      </x:c>
      <x:c r="N89" s="21" t="n">
        <x:f>L89*M89</x:f>
        <x:v>0</x:v>
      </x:c>
      <x:c r="O89" s="21" t="n">
        <x:f>C89*N89</x:f>
        <x:v>0</x:v>
      </x:c>
      <x:c r="P89" s="21" t="n">
        <x:f>C89*O89</x:f>
        <x:v>0</x:v>
      </x:c>
      <x:c r="Q89" s="21" t="n">
        <x:f>IF(C89&gt;30,N89,0)</x:f>
        <x:v>0</x:v>
      </x:c>
      <x:c r="R89" s="52" t="n">
        <x:f>O89*'Curve'!N90</x:f>
        <x:v>0</x:v>
      </x:c>
      <x:c r="S89" s="52" t="n">
        <x:f>O89*'Curve'!O90</x:f>
        <x:v>0</x:v>
      </x:c>
      <x:c r="T89" s="52" t="n">
        <x:f>O89*'Curve'!P90</x:f>
        <x:v>0</x:v>
      </x:c>
      <x:c r="U89" s="52" t="n">
        <x:f>O89*'Curve'!Q90</x:f>
        <x:v>0</x:v>
      </x:c>
      <x:c r="V89" s="52" t="n">
        <x:f>O89*'Curve'!R90</x:f>
        <x:v>0</x:v>
      </x:c>
      <x:c r="W89" s="52" t="n">
        <x:f>L89*'Curve'!J90</x:f>
        <x:v>0</x:v>
      </x:c>
    </x:row>
    <x:row r="90" ht="20" customHeight="1">
      <x:c r="A90" s="2"/>
      <x:c r="B90" s="2"/>
      <x:c r="C90" s="2" t="n">
        <x:v>85</x:v>
      </x:c>
      <x:c r="D90" s="46" t="n">
        <x:f>IF(C90+'Sources'!$I$49-1&gt;='Controls'!$F$7,1,INDEX('Sources'!$D$15:$D$134,C90+'Sources'!$I$49))</x:f>
        <x:v>1</x:v>
      </x:c>
      <x:c r="E90" s="46" t="n">
        <x:f>IF(C90+'Sources'!$I$50-1&gt;='Controls'!$F$7,1,INDEX('Sources'!$E$15:$E$134,C90+'Sources'!$I$50))</x:f>
        <x:v>1</x:v>
      </x:c>
      <x:c r="F90" s="46" t="n">
        <x:f>IF(C90+'Sources'!$I$51-1&gt;='Controls'!$F$7,1,INDEX('Sources'!$D$15:$D$134,C90+'Sources'!$I$51))</x:f>
        <x:v>1</x:v>
      </x:c>
      <x:c r="G90" s="46" t="n">
        <x:f>IF(C90+'Sources'!$I$52-1&gt;='Controls'!$F$7,1,INDEX('Sources'!$E$15:$E$134,C90+'Sources'!$I$52))</x:f>
        <x:v>1</x:v>
      </x:c>
      <x:c r="H90" s="20" t="n">
        <x:f>H89*(1-D90)^'Controls'!$F$6</x:f>
        <x:v>0</x:v>
      </x:c>
      <x:c r="I90" s="20" t="n">
        <x:f>I89*(1-E90)^'Controls'!$F$6</x:f>
        <x:v>0</x:v>
      </x:c>
      <x:c r="J90" s="20" t="n">
        <x:f>J89*(1-F90)^'Controls'!$F$6</x:f>
        <x:v>0</x:v>
      </x:c>
      <x:c r="K90" s="20" t="n">
        <x:f>K89*(1-G90)^'Controls'!$F$6</x:f>
        <x:v>0</x:v>
      </x:c>
      <x:c r="L90" s="52" t="n">
        <x:f>'Controls'!$F$5*(H90*'Sources'!$J$49+I90*'Sources'!$J$50+J90*'Sources'!$J$51+K90*'Sources'!$J$52)</x:f>
        <x:v>0</x:v>
      </x:c>
      <x:c r="M90" s="53" t="n">
        <x:f>'Curve'!M91</x:f>
        <x:v>0.06211440500612558</x:v>
      </x:c>
      <x:c r="N90" s="21" t="n">
        <x:f>L90*M90</x:f>
        <x:v>0</x:v>
      </x:c>
      <x:c r="O90" s="21" t="n">
        <x:f>C90*N90</x:f>
        <x:v>0</x:v>
      </x:c>
      <x:c r="P90" s="21" t="n">
        <x:f>C90*O90</x:f>
        <x:v>0</x:v>
      </x:c>
      <x:c r="Q90" s="21" t="n">
        <x:f>IF(C90&gt;30,N90,0)</x:f>
        <x:v>0</x:v>
      </x:c>
      <x:c r="R90" s="52" t="n">
        <x:f>O90*'Curve'!N91</x:f>
        <x:v>0</x:v>
      </x:c>
      <x:c r="S90" s="52" t="n">
        <x:f>O90*'Curve'!O91</x:f>
        <x:v>0</x:v>
      </x:c>
      <x:c r="T90" s="52" t="n">
        <x:f>O90*'Curve'!P91</x:f>
        <x:v>0</x:v>
      </x:c>
      <x:c r="U90" s="52" t="n">
        <x:f>O90*'Curve'!Q91</x:f>
        <x:v>0</x:v>
      </x:c>
      <x:c r="V90" s="52" t="n">
        <x:f>O90*'Curve'!R91</x:f>
        <x:v>0</x:v>
      </x:c>
      <x:c r="W90" s="52" t="n">
        <x:f>L90*'Curve'!J91</x:f>
        <x:v>0</x:v>
      </x:c>
    </x:row>
    <x:row r="91" ht="20" customHeight="1">
      <x:c r="A91" s="2"/>
      <x:c r="B91" s="2"/>
      <x:c r="C91" s="2" t="n">
        <x:v>86</x:v>
      </x:c>
      <x:c r="D91" s="46" t="n">
        <x:f>IF(C91+'Sources'!$I$49-1&gt;='Controls'!$F$7,1,INDEX('Sources'!$D$15:$D$134,C91+'Sources'!$I$49))</x:f>
        <x:v>1</x:v>
      </x:c>
      <x:c r="E91" s="46" t="n">
        <x:f>IF(C91+'Sources'!$I$50-1&gt;='Controls'!$F$7,1,INDEX('Sources'!$E$15:$E$134,C91+'Sources'!$I$50))</x:f>
        <x:v>1</x:v>
      </x:c>
      <x:c r="F91" s="46" t="n">
        <x:f>IF(C91+'Sources'!$I$51-1&gt;='Controls'!$F$7,1,INDEX('Sources'!$D$15:$D$134,C91+'Sources'!$I$51))</x:f>
        <x:v>1</x:v>
      </x:c>
      <x:c r="G91" s="46" t="n">
        <x:f>IF(C91+'Sources'!$I$52-1&gt;='Controls'!$F$7,1,INDEX('Sources'!$E$15:$E$134,C91+'Sources'!$I$52))</x:f>
        <x:v>1</x:v>
      </x:c>
      <x:c r="H91" s="20" t="n">
        <x:f>H90*(1-D91)^'Controls'!$F$6</x:f>
        <x:v>0</x:v>
      </x:c>
      <x:c r="I91" s="20" t="n">
        <x:f>I90*(1-E91)^'Controls'!$F$6</x:f>
        <x:v>0</x:v>
      </x:c>
      <x:c r="J91" s="20" t="n">
        <x:f>J90*(1-F91)^'Controls'!$F$6</x:f>
        <x:v>0</x:v>
      </x:c>
      <x:c r="K91" s="20" t="n">
        <x:f>K90*(1-G91)^'Controls'!$F$6</x:f>
        <x:v>0</x:v>
      </x:c>
      <x:c r="L91" s="52" t="n">
        <x:f>'Controls'!$F$5*(H91*'Sources'!$J$49+I91*'Sources'!$J$50+J91*'Sources'!$J$51+K91*'Sources'!$J$52)</x:f>
        <x:v>0</x:v>
      </x:c>
      <x:c r="M91" s="53" t="n">
        <x:f>'Curve'!M92</x:f>
        <x:v>0.06186526170986307</x:v>
      </x:c>
      <x:c r="N91" s="21" t="n">
        <x:f>L91*M91</x:f>
        <x:v>0</x:v>
      </x:c>
      <x:c r="O91" s="21" t="n">
        <x:f>C91*N91</x:f>
        <x:v>0</x:v>
      </x:c>
      <x:c r="P91" s="21" t="n">
        <x:f>C91*O91</x:f>
        <x:v>0</x:v>
      </x:c>
      <x:c r="Q91" s="21" t="n">
        <x:f>IF(C91&gt;30,N91,0)</x:f>
        <x:v>0</x:v>
      </x:c>
      <x:c r="R91" s="52" t="n">
        <x:f>O91*'Curve'!N92</x:f>
        <x:v>0</x:v>
      </x:c>
      <x:c r="S91" s="52" t="n">
        <x:f>O91*'Curve'!O92</x:f>
        <x:v>0</x:v>
      </x:c>
      <x:c r="T91" s="52" t="n">
        <x:f>O91*'Curve'!P92</x:f>
        <x:v>0</x:v>
      </x:c>
      <x:c r="U91" s="52" t="n">
        <x:f>O91*'Curve'!Q92</x:f>
        <x:v>0</x:v>
      </x:c>
      <x:c r="V91" s="52" t="n">
        <x:f>O91*'Curve'!R92</x:f>
        <x:v>0</x:v>
      </x:c>
      <x:c r="W91" s="52" t="n">
        <x:f>L91*'Curve'!J92</x:f>
        <x:v>0</x:v>
      </x:c>
    </x:row>
    <x:row r="92" ht="20" customHeight="1">
      <x:c r="A92" s="2"/>
      <x:c r="B92" s="2"/>
      <x:c r="C92" s="2" t="n">
        <x:v>87</x:v>
      </x:c>
      <x:c r="D92" s="46" t="n">
        <x:f>IF(C92+'Sources'!$I$49-1&gt;='Controls'!$F$7,1,INDEX('Sources'!$D$15:$D$134,C92+'Sources'!$I$49))</x:f>
        <x:v>1</x:v>
      </x:c>
      <x:c r="E92" s="46" t="n">
        <x:f>IF(C92+'Sources'!$I$50-1&gt;='Controls'!$F$7,1,INDEX('Sources'!$E$15:$E$134,C92+'Sources'!$I$50))</x:f>
        <x:v>1</x:v>
      </x:c>
      <x:c r="F92" s="46" t="n">
        <x:f>IF(C92+'Sources'!$I$51-1&gt;='Controls'!$F$7,1,INDEX('Sources'!$D$15:$D$134,C92+'Sources'!$I$51))</x:f>
        <x:v>1</x:v>
      </x:c>
      <x:c r="G92" s="46" t="n">
        <x:f>IF(C92+'Sources'!$I$52-1&gt;='Controls'!$F$7,1,INDEX('Sources'!$E$15:$E$134,C92+'Sources'!$I$52))</x:f>
        <x:v>1</x:v>
      </x:c>
      <x:c r="H92" s="20" t="n">
        <x:f>H91*(1-D92)^'Controls'!$F$6</x:f>
        <x:v>0</x:v>
      </x:c>
      <x:c r="I92" s="20" t="n">
        <x:f>I91*(1-E92)^'Controls'!$F$6</x:f>
        <x:v>0</x:v>
      </x:c>
      <x:c r="J92" s="20" t="n">
        <x:f>J91*(1-F92)^'Controls'!$F$6</x:f>
        <x:v>0</x:v>
      </x:c>
      <x:c r="K92" s="20" t="n">
        <x:f>K91*(1-G92)^'Controls'!$F$6</x:f>
        <x:v>0</x:v>
      </x:c>
      <x:c r="L92" s="52" t="n">
        <x:f>'Controls'!$F$5*(H92*'Sources'!$J$49+I92*'Sources'!$J$50+J92*'Sources'!$J$51+K92*'Sources'!$J$52)</x:f>
        <x:v>0</x:v>
      </x:c>
      <x:c r="M92" s="53" t="n">
        <x:f>'Curve'!M93</x:f>
        <x:v>0.06162968050259415</x:v>
      </x:c>
      <x:c r="N92" s="21" t="n">
        <x:f>L92*M92</x:f>
        <x:v>0</x:v>
      </x:c>
      <x:c r="O92" s="21" t="n">
        <x:f>C92*N92</x:f>
        <x:v>0</x:v>
      </x:c>
      <x:c r="P92" s="21" t="n">
        <x:f>C92*O92</x:f>
        <x:v>0</x:v>
      </x:c>
      <x:c r="Q92" s="21" t="n">
        <x:f>IF(C92&gt;30,N92,0)</x:f>
        <x:v>0</x:v>
      </x:c>
      <x:c r="R92" s="52" t="n">
        <x:f>O92*'Curve'!N93</x:f>
        <x:v>0</x:v>
      </x:c>
      <x:c r="S92" s="52" t="n">
        <x:f>O92*'Curve'!O93</x:f>
        <x:v>0</x:v>
      </x:c>
      <x:c r="T92" s="52" t="n">
        <x:f>O92*'Curve'!P93</x:f>
        <x:v>0</x:v>
      </x:c>
      <x:c r="U92" s="52" t="n">
        <x:f>O92*'Curve'!Q93</x:f>
        <x:v>0</x:v>
      </x:c>
      <x:c r="V92" s="52" t="n">
        <x:f>O92*'Curve'!R93</x:f>
        <x:v>0</x:v>
      </x:c>
      <x:c r="W92" s="52" t="n">
        <x:f>L92*'Curve'!J93</x:f>
        <x:v>0</x:v>
      </x:c>
    </x:row>
    <x:row r="93" ht="20" customHeight="1">
      <x:c r="A93" s="2"/>
      <x:c r="B93" s="2"/>
      <x:c r="C93" s="2" t="n">
        <x:v>88</x:v>
      </x:c>
      <x:c r="D93" s="46" t="n">
        <x:f>IF(C93+'Sources'!$I$49-1&gt;='Controls'!$F$7,1,INDEX('Sources'!$D$15:$D$134,C93+'Sources'!$I$49))</x:f>
        <x:v>1</x:v>
      </x:c>
      <x:c r="E93" s="46" t="n">
        <x:f>IF(C93+'Sources'!$I$50-1&gt;='Controls'!$F$7,1,INDEX('Sources'!$E$15:$E$134,C93+'Sources'!$I$50))</x:f>
        <x:v>1</x:v>
      </x:c>
      <x:c r="F93" s="46" t="n">
        <x:f>IF(C93+'Sources'!$I$51-1&gt;='Controls'!$F$7,1,INDEX('Sources'!$D$15:$D$134,C93+'Sources'!$I$51))</x:f>
        <x:v>1</x:v>
      </x:c>
      <x:c r="G93" s="46" t="n">
        <x:f>IF(C93+'Sources'!$I$52-1&gt;='Controls'!$F$7,1,INDEX('Sources'!$E$15:$E$134,C93+'Sources'!$I$52))</x:f>
        <x:v>1</x:v>
      </x:c>
      <x:c r="H93" s="20" t="n">
        <x:f>H92*(1-D93)^'Controls'!$F$6</x:f>
        <x:v>0</x:v>
      </x:c>
      <x:c r="I93" s="20" t="n">
        <x:f>I92*(1-E93)^'Controls'!$F$6</x:f>
        <x:v>0</x:v>
      </x:c>
      <x:c r="J93" s="20" t="n">
        <x:f>J92*(1-F93)^'Controls'!$F$6</x:f>
        <x:v>0</x:v>
      </x:c>
      <x:c r="K93" s="20" t="n">
        <x:f>K92*(1-G93)^'Controls'!$F$6</x:f>
        <x:v>0</x:v>
      </x:c>
      <x:c r="L93" s="52" t="n">
        <x:f>'Controls'!$F$5*(H93*'Sources'!$J$49+I93*'Sources'!$J$50+J93*'Sources'!$J$51+K93*'Sources'!$J$52)</x:f>
        <x:v>0</x:v>
      </x:c>
      <x:c r="M93" s="53" t="n">
        <x:f>'Curve'!M94</x:f>
        <x:v>0.06140690859431995</x:v>
      </x:c>
      <x:c r="N93" s="21" t="n">
        <x:f>L93*M93</x:f>
        <x:v>0</x:v>
      </x:c>
      <x:c r="O93" s="21" t="n">
        <x:f>C93*N93</x:f>
        <x:v>0</x:v>
      </x:c>
      <x:c r="P93" s="21" t="n">
        <x:f>C93*O93</x:f>
        <x:v>0</x:v>
      </x:c>
      <x:c r="Q93" s="21" t="n">
        <x:f>IF(C93&gt;30,N93,0)</x:f>
        <x:v>0</x:v>
      </x:c>
      <x:c r="R93" s="52" t="n">
        <x:f>O93*'Curve'!N94</x:f>
        <x:v>0</x:v>
      </x:c>
      <x:c r="S93" s="52" t="n">
        <x:f>O93*'Curve'!O94</x:f>
        <x:v>0</x:v>
      </x:c>
      <x:c r="T93" s="52" t="n">
        <x:f>O93*'Curve'!P94</x:f>
        <x:v>0</x:v>
      </x:c>
      <x:c r="U93" s="52" t="n">
        <x:f>O93*'Curve'!Q94</x:f>
        <x:v>0</x:v>
      </x:c>
      <x:c r="V93" s="52" t="n">
        <x:f>O93*'Curve'!R94</x:f>
        <x:v>0</x:v>
      </x:c>
      <x:c r="W93" s="52" t="n">
        <x:f>L93*'Curve'!J94</x:f>
        <x:v>0</x:v>
      </x:c>
    </x:row>
    <x:row r="94" ht="20" customHeight="1">
      <x:c r="A94" s="2"/>
      <x:c r="B94" s="2"/>
      <x:c r="C94" s="2" t="n">
        <x:v>89</x:v>
      </x:c>
      <x:c r="D94" s="46" t="n">
        <x:f>IF(C94+'Sources'!$I$49-1&gt;='Controls'!$F$7,1,INDEX('Sources'!$D$15:$D$134,C94+'Sources'!$I$49))</x:f>
        <x:v>1</x:v>
      </x:c>
      <x:c r="E94" s="46" t="n">
        <x:f>IF(C94+'Sources'!$I$50-1&gt;='Controls'!$F$7,1,INDEX('Sources'!$E$15:$E$134,C94+'Sources'!$I$50))</x:f>
        <x:v>1</x:v>
      </x:c>
      <x:c r="F94" s="46" t="n">
        <x:f>IF(C94+'Sources'!$I$51-1&gt;='Controls'!$F$7,1,INDEX('Sources'!$D$15:$D$134,C94+'Sources'!$I$51))</x:f>
        <x:v>1</x:v>
      </x:c>
      <x:c r="G94" s="46" t="n">
        <x:f>IF(C94+'Sources'!$I$52-1&gt;='Controls'!$F$7,1,INDEX('Sources'!$E$15:$E$134,C94+'Sources'!$I$52))</x:f>
        <x:v>1</x:v>
      </x:c>
      <x:c r="H94" s="20" t="n">
        <x:f>H93*(1-D94)^'Controls'!$F$6</x:f>
        <x:v>0</x:v>
      </x:c>
      <x:c r="I94" s="20" t="n">
        <x:f>I93*(1-E94)^'Controls'!$F$6</x:f>
        <x:v>0</x:v>
      </x:c>
      <x:c r="J94" s="20" t="n">
        <x:f>J93*(1-F94)^'Controls'!$F$6</x:f>
        <x:v>0</x:v>
      </x:c>
      <x:c r="K94" s="20" t="n">
        <x:f>K93*(1-G94)^'Controls'!$F$6</x:f>
        <x:v>0</x:v>
      </x:c>
      <x:c r="L94" s="52" t="n">
        <x:f>'Controls'!$F$5*(H94*'Sources'!$J$49+I94*'Sources'!$J$50+J94*'Sources'!$J$51+K94*'Sources'!$J$52)</x:f>
        <x:v>0</x:v>
      </x:c>
      <x:c r="M94" s="53" t="n">
        <x:f>'Curve'!M95</x:f>
        <x:v>0.06119623714343511</x:v>
      </x:c>
      <x:c r="N94" s="21" t="n">
        <x:f>L94*M94</x:f>
        <x:v>0</x:v>
      </x:c>
      <x:c r="O94" s="21" t="n">
        <x:f>C94*N94</x:f>
        <x:v>0</x:v>
      </x:c>
      <x:c r="P94" s="21" t="n">
        <x:f>C94*O94</x:f>
        <x:v>0</x:v>
      </x:c>
      <x:c r="Q94" s="21" t="n">
        <x:f>IF(C94&gt;30,N94,0)</x:f>
        <x:v>0</x:v>
      </x:c>
      <x:c r="R94" s="52" t="n">
        <x:f>O94*'Curve'!N95</x:f>
        <x:v>0</x:v>
      </x:c>
      <x:c r="S94" s="52" t="n">
        <x:f>O94*'Curve'!O95</x:f>
        <x:v>0</x:v>
      </x:c>
      <x:c r="T94" s="52" t="n">
        <x:f>O94*'Curve'!P95</x:f>
        <x:v>0</x:v>
      </x:c>
      <x:c r="U94" s="52" t="n">
        <x:f>O94*'Curve'!Q95</x:f>
        <x:v>0</x:v>
      </x:c>
      <x:c r="V94" s="52" t="n">
        <x:f>O94*'Curve'!R95</x:f>
        <x:v>0</x:v>
      </x:c>
      <x:c r="W94" s="52" t="n">
        <x:f>L94*'Curve'!J95</x:f>
        <x:v>0</x:v>
      </x:c>
    </x:row>
    <x:row r="95" ht="20" customHeight="1">
      <x:c r="A95" s="2"/>
      <x:c r="B95" s="2"/>
      <x:c r="C95" s="2" t="n">
        <x:v>90</x:v>
      </x:c>
      <x:c r="D95" s="46" t="n">
        <x:f>IF(C95+'Sources'!$I$49-1&gt;='Controls'!$F$7,1,INDEX('Sources'!$D$15:$D$134,C95+'Sources'!$I$49))</x:f>
        <x:v>1</x:v>
      </x:c>
      <x:c r="E95" s="46" t="n">
        <x:f>IF(C95+'Sources'!$I$50-1&gt;='Controls'!$F$7,1,INDEX('Sources'!$E$15:$E$134,C95+'Sources'!$I$50))</x:f>
        <x:v>1</x:v>
      </x:c>
      <x:c r="F95" s="46" t="n">
        <x:f>IF(C95+'Sources'!$I$51-1&gt;='Controls'!$F$7,1,INDEX('Sources'!$D$15:$D$134,C95+'Sources'!$I$51))</x:f>
        <x:v>1</x:v>
      </x:c>
      <x:c r="G95" s="46" t="n">
        <x:f>IF(C95+'Sources'!$I$52-1&gt;='Controls'!$F$7,1,INDEX('Sources'!$E$15:$E$134,C95+'Sources'!$I$52))</x:f>
        <x:v>1</x:v>
      </x:c>
      <x:c r="H95" s="20" t="n">
        <x:f>H94*(1-D95)^'Controls'!$F$6</x:f>
        <x:v>0</x:v>
      </x:c>
      <x:c r="I95" s="20" t="n">
        <x:f>I94*(1-E95)^'Controls'!$F$6</x:f>
        <x:v>0</x:v>
      </x:c>
      <x:c r="J95" s="20" t="n">
        <x:f>J94*(1-F95)^'Controls'!$F$6</x:f>
        <x:v>0</x:v>
      </x:c>
      <x:c r="K95" s="20" t="n">
        <x:f>K94*(1-G95)^'Controls'!$F$6</x:f>
        <x:v>0</x:v>
      </x:c>
      <x:c r="L95" s="52" t="n">
        <x:f>'Controls'!$F$5*(H95*'Sources'!$J$49+I95*'Sources'!$J$50+J95*'Sources'!$J$51+K95*'Sources'!$J$52)</x:f>
        <x:v>0</x:v>
      </x:c>
      <x:c r="M95" s="53" t="n">
        <x:f>'Curve'!M96</x:f>
        <x:v>0.060996998441366</x:v>
      </x:c>
      <x:c r="N95" s="21" t="n">
        <x:f>L95*M95</x:f>
        <x:v>0</x:v>
      </x:c>
      <x:c r="O95" s="21" t="n">
        <x:f>C95*N95</x:f>
        <x:v>0</x:v>
      </x:c>
      <x:c r="P95" s="21" t="n">
        <x:f>C95*O95</x:f>
        <x:v>0</x:v>
      </x:c>
      <x:c r="Q95" s="21" t="n">
        <x:f>IF(C95&gt;30,N95,0)</x:f>
        <x:v>0</x:v>
      </x:c>
      <x:c r="R95" s="52" t="n">
        <x:f>O95*'Curve'!N96</x:f>
        <x:v>0</x:v>
      </x:c>
      <x:c r="S95" s="52" t="n">
        <x:f>O95*'Curve'!O96</x:f>
        <x:v>0</x:v>
      </x:c>
      <x:c r="T95" s="52" t="n">
        <x:f>O95*'Curve'!P96</x:f>
        <x:v>0</x:v>
      </x:c>
      <x:c r="U95" s="52" t="n">
        <x:f>O95*'Curve'!Q96</x:f>
        <x:v>0</x:v>
      </x:c>
      <x:c r="V95" s="52" t="n">
        <x:f>O95*'Curve'!R96</x:f>
        <x:v>0</x:v>
      </x:c>
      <x:c r="W95" s="52" t="n">
        <x:f>L95*'Curve'!J96</x:f>
        <x:v>0</x:v>
      </x:c>
    </x:row>
    <x:row r="96" ht="20" customHeight="1">
      <x:c r="A96" s="2"/>
      <x:c r="B96" s="2"/>
      <x:c r="C96" s="2" t="n">
        <x:v>91</x:v>
      </x:c>
      <x:c r="D96" s="46" t="n">
        <x:f>IF(C96+'Sources'!$I$49-1&gt;='Controls'!$F$7,1,INDEX('Sources'!$D$15:$D$134,C96+'Sources'!$I$49))</x:f>
        <x:v>1</x:v>
      </x:c>
      <x:c r="E96" s="46" t="n">
        <x:f>IF(C96+'Sources'!$I$50-1&gt;='Controls'!$F$7,1,INDEX('Sources'!$E$15:$E$134,C96+'Sources'!$I$50))</x:f>
        <x:v>1</x:v>
      </x:c>
      <x:c r="F96" s="46" t="n">
        <x:f>IF(C96+'Sources'!$I$51-1&gt;='Controls'!$F$7,1,INDEX('Sources'!$D$15:$D$134,C96+'Sources'!$I$51))</x:f>
        <x:v>1</x:v>
      </x:c>
      <x:c r="G96" s="46" t="n">
        <x:f>IF(C96+'Sources'!$I$52-1&gt;='Controls'!$F$7,1,INDEX('Sources'!$E$15:$E$134,C96+'Sources'!$I$52))</x:f>
        <x:v>1</x:v>
      </x:c>
      <x:c r="H96" s="20" t="n">
        <x:f>H95*(1-D96)^'Controls'!$F$6</x:f>
        <x:v>0</x:v>
      </x:c>
      <x:c r="I96" s="20" t="n">
        <x:f>I95*(1-E96)^'Controls'!$F$6</x:f>
        <x:v>0</x:v>
      </x:c>
      <x:c r="J96" s="20" t="n">
        <x:f>J95*(1-F96)^'Controls'!$F$6</x:f>
        <x:v>0</x:v>
      </x:c>
      <x:c r="K96" s="20" t="n">
        <x:f>K95*(1-G96)^'Controls'!$F$6</x:f>
        <x:v>0</x:v>
      </x:c>
      <x:c r="L96" s="52" t="n">
        <x:f>'Controls'!$F$5*(H96*'Sources'!$J$49+I96*'Sources'!$J$50+J96*'Sources'!$J$51+K96*'Sources'!$J$52)</x:f>
        <x:v>0</x:v>
      </x:c>
      <x:c r="M96" s="53" t="n">
        <x:f>'Curve'!M97</x:f>
        <x:v>0.06080856330203585</x:v>
      </x:c>
      <x:c r="N96" s="21" t="n">
        <x:f>L96*M96</x:f>
        <x:v>0</x:v>
      </x:c>
      <x:c r="O96" s="21" t="n">
        <x:f>C96*N96</x:f>
        <x:v>0</x:v>
      </x:c>
      <x:c r="P96" s="21" t="n">
        <x:f>C96*O96</x:f>
        <x:v>0</x:v>
      </x:c>
      <x:c r="Q96" s="21" t="n">
        <x:f>IF(C96&gt;30,N96,0)</x:f>
        <x:v>0</x:v>
      </x:c>
      <x:c r="R96" s="52" t="n">
        <x:f>O96*'Curve'!N97</x:f>
        <x:v>0</x:v>
      </x:c>
      <x:c r="S96" s="52" t="n">
        <x:f>O96*'Curve'!O97</x:f>
        <x:v>0</x:v>
      </x:c>
      <x:c r="T96" s="52" t="n">
        <x:f>O96*'Curve'!P97</x:f>
        <x:v>0</x:v>
      </x:c>
      <x:c r="U96" s="52" t="n">
        <x:f>O96*'Curve'!Q97</x:f>
        <x:v>0</x:v>
      </x:c>
      <x:c r="V96" s="52" t="n">
        <x:f>O96*'Curve'!R97</x:f>
        <x:v>0</x:v>
      </x:c>
      <x:c r="W96" s="52" t="n">
        <x:f>L96*'Curve'!J97</x:f>
        <x:v>0</x:v>
      </x:c>
    </x:row>
    <x:row r="97" ht="20" customHeight="1">
      <x:c r="A97" s="2"/>
      <x:c r="B97" s="2"/>
      <x:c r="C97" s="2" t="n">
        <x:v>92</x:v>
      </x:c>
      <x:c r="D97" s="46" t="n">
        <x:f>IF(C97+'Sources'!$I$49-1&gt;='Controls'!$F$7,1,INDEX('Sources'!$D$15:$D$134,C97+'Sources'!$I$49))</x:f>
        <x:v>1</x:v>
      </x:c>
      <x:c r="E97" s="46" t="n">
        <x:f>IF(C97+'Sources'!$I$50-1&gt;='Controls'!$F$7,1,INDEX('Sources'!$E$15:$E$134,C97+'Sources'!$I$50))</x:f>
        <x:v>1</x:v>
      </x:c>
      <x:c r="F97" s="46" t="n">
        <x:f>IF(C97+'Sources'!$I$51-1&gt;='Controls'!$F$7,1,INDEX('Sources'!$D$15:$D$134,C97+'Sources'!$I$51))</x:f>
        <x:v>1</x:v>
      </x:c>
      <x:c r="G97" s="46" t="n">
        <x:f>IF(C97+'Sources'!$I$52-1&gt;='Controls'!$F$7,1,INDEX('Sources'!$E$15:$E$134,C97+'Sources'!$I$52))</x:f>
        <x:v>1</x:v>
      </x:c>
      <x:c r="H97" s="20" t="n">
        <x:f>H96*(1-D97)^'Controls'!$F$6</x:f>
        <x:v>0</x:v>
      </x:c>
      <x:c r="I97" s="20" t="n">
        <x:f>I96*(1-E97)^'Controls'!$F$6</x:f>
        <x:v>0</x:v>
      </x:c>
      <x:c r="J97" s="20" t="n">
        <x:f>J96*(1-F97)^'Controls'!$F$6</x:f>
        <x:v>0</x:v>
      </x:c>
      <x:c r="K97" s="20" t="n">
        <x:f>K96*(1-G97)^'Controls'!$F$6</x:f>
        <x:v>0</x:v>
      </x:c>
      <x:c r="L97" s="52" t="n">
        <x:f>'Controls'!$F$5*(H97*'Sources'!$J$49+I97*'Sources'!$J$50+J97*'Sources'!$J$51+K97*'Sources'!$J$52)</x:f>
        <x:v>0</x:v>
      </x:c>
      <x:c r="M97" s="53" t="n">
        <x:f>'Curve'!M98</x:f>
        <x:v>0.06063033863921492</x:v>
      </x:c>
      <x:c r="N97" s="21" t="n">
        <x:f>L97*M97</x:f>
        <x:v>0</x:v>
      </x:c>
      <x:c r="O97" s="21" t="n">
        <x:f>C97*N97</x:f>
        <x:v>0</x:v>
      </x:c>
      <x:c r="P97" s="21" t="n">
        <x:f>C97*O97</x:f>
        <x:v>0</x:v>
      </x:c>
      <x:c r="Q97" s="21" t="n">
        <x:f>IF(C97&gt;30,N97,0)</x:f>
        <x:v>0</x:v>
      </x:c>
      <x:c r="R97" s="52" t="n">
        <x:f>O97*'Curve'!N98</x:f>
        <x:v>0</x:v>
      </x:c>
      <x:c r="S97" s="52" t="n">
        <x:f>O97*'Curve'!O98</x:f>
        <x:v>0</x:v>
      </x:c>
      <x:c r="T97" s="52" t="n">
        <x:f>O97*'Curve'!P98</x:f>
        <x:v>0</x:v>
      </x:c>
      <x:c r="U97" s="52" t="n">
        <x:f>O97*'Curve'!Q98</x:f>
        <x:v>0</x:v>
      </x:c>
      <x:c r="V97" s="52" t="n">
        <x:f>O97*'Curve'!R98</x:f>
        <x:v>0</x:v>
      </x:c>
      <x:c r="W97" s="52" t="n">
        <x:f>L97*'Curve'!J98</x:f>
        <x:v>0</x:v>
      </x:c>
    </x:row>
    <x:row r="98" ht="20" customHeight="1">
      <x:c r="A98" s="2"/>
      <x:c r="B98" s="2"/>
      <x:c r="C98" s="2" t="n">
        <x:v>93</x:v>
      </x:c>
      <x:c r="D98" s="46" t="n">
        <x:f>IF(C98+'Sources'!$I$49-1&gt;='Controls'!$F$7,1,INDEX('Sources'!$D$15:$D$134,C98+'Sources'!$I$49))</x:f>
        <x:v>1</x:v>
      </x:c>
      <x:c r="E98" s="46" t="n">
        <x:f>IF(C98+'Sources'!$I$50-1&gt;='Controls'!$F$7,1,INDEX('Sources'!$E$15:$E$134,C98+'Sources'!$I$50))</x:f>
        <x:v>1</x:v>
      </x:c>
      <x:c r="F98" s="46" t="n">
        <x:f>IF(C98+'Sources'!$I$51-1&gt;='Controls'!$F$7,1,INDEX('Sources'!$D$15:$D$134,C98+'Sources'!$I$51))</x:f>
        <x:v>1</x:v>
      </x:c>
      <x:c r="G98" s="46" t="n">
        <x:f>IF(C98+'Sources'!$I$52-1&gt;='Controls'!$F$7,1,INDEX('Sources'!$E$15:$E$134,C98+'Sources'!$I$52))</x:f>
        <x:v>1</x:v>
      </x:c>
      <x:c r="H98" s="20" t="n">
        <x:f>H97*(1-D98)^'Controls'!$F$6</x:f>
        <x:v>0</x:v>
      </x:c>
      <x:c r="I98" s="20" t="n">
        <x:f>I97*(1-E98)^'Controls'!$F$6</x:f>
        <x:v>0</x:v>
      </x:c>
      <x:c r="J98" s="20" t="n">
        <x:f>J97*(1-F98)^'Controls'!$F$6</x:f>
        <x:v>0</x:v>
      </x:c>
      <x:c r="K98" s="20" t="n">
        <x:f>K97*(1-G98)^'Controls'!$F$6</x:f>
        <x:v>0</x:v>
      </x:c>
      <x:c r="L98" s="52" t="n">
        <x:f>'Controls'!$F$5*(H98*'Sources'!$J$49+I98*'Sources'!$J$50+J98*'Sources'!$J$51+K98*'Sources'!$J$52)</x:f>
        <x:v>0</x:v>
      </x:c>
      <x:c r="M98" s="53" t="n">
        <x:f>'Curve'!M99</x:f>
        <x:v>0.06046176521635969</x:v>
      </x:c>
      <x:c r="N98" s="21" t="n">
        <x:f>L98*M98</x:f>
        <x:v>0</x:v>
      </x:c>
      <x:c r="O98" s="21" t="n">
        <x:f>C98*N98</x:f>
        <x:v>0</x:v>
      </x:c>
      <x:c r="P98" s="21" t="n">
        <x:f>C98*O98</x:f>
        <x:v>0</x:v>
      </x:c>
      <x:c r="Q98" s="21" t="n">
        <x:f>IF(C98&gt;30,N98,0)</x:f>
        <x:v>0</x:v>
      </x:c>
      <x:c r="R98" s="52" t="n">
        <x:f>O98*'Curve'!N99</x:f>
        <x:v>0</x:v>
      </x:c>
      <x:c r="S98" s="52" t="n">
        <x:f>O98*'Curve'!O99</x:f>
        <x:v>0</x:v>
      </x:c>
      <x:c r="T98" s="52" t="n">
        <x:f>O98*'Curve'!P99</x:f>
        <x:v>0</x:v>
      </x:c>
      <x:c r="U98" s="52" t="n">
        <x:f>O98*'Curve'!Q99</x:f>
        <x:v>0</x:v>
      </x:c>
      <x:c r="V98" s="52" t="n">
        <x:f>O98*'Curve'!R99</x:f>
        <x:v>0</x:v>
      </x:c>
      <x:c r="W98" s="52" t="n">
        <x:f>L98*'Curve'!J99</x:f>
        <x:v>0</x:v>
      </x:c>
    </x:row>
    <x:row r="99" ht="20" customHeight="1">
      <x:c r="A99" s="2"/>
      <x:c r="B99" s="2"/>
      <x:c r="C99" s="2" t="n">
        <x:v>94</x:v>
      </x:c>
      <x:c r="D99" s="46" t="n">
        <x:f>IF(C99+'Sources'!$I$49-1&gt;='Controls'!$F$7,1,INDEX('Sources'!$D$15:$D$134,C99+'Sources'!$I$49))</x:f>
        <x:v>1</x:v>
      </x:c>
      <x:c r="E99" s="46" t="n">
        <x:f>IF(C99+'Sources'!$I$50-1&gt;='Controls'!$F$7,1,INDEX('Sources'!$E$15:$E$134,C99+'Sources'!$I$50))</x:f>
        <x:v>1</x:v>
      </x:c>
      <x:c r="F99" s="46" t="n">
        <x:f>IF(C99+'Sources'!$I$51-1&gt;='Controls'!$F$7,1,INDEX('Sources'!$D$15:$D$134,C99+'Sources'!$I$51))</x:f>
        <x:v>1</x:v>
      </x:c>
      <x:c r="G99" s="46" t="n">
        <x:f>IF(C99+'Sources'!$I$52-1&gt;='Controls'!$F$7,1,INDEX('Sources'!$E$15:$E$134,C99+'Sources'!$I$52))</x:f>
        <x:v>1</x:v>
      </x:c>
      <x:c r="H99" s="20" t="n">
        <x:f>H98*(1-D99)^'Controls'!$F$6</x:f>
        <x:v>0</x:v>
      </x:c>
      <x:c r="I99" s="20" t="n">
        <x:f>I98*(1-E99)^'Controls'!$F$6</x:f>
        <x:v>0</x:v>
      </x:c>
      <x:c r="J99" s="20" t="n">
        <x:f>J98*(1-F99)^'Controls'!$F$6</x:f>
        <x:v>0</x:v>
      </x:c>
      <x:c r="K99" s="20" t="n">
        <x:f>K98*(1-G99)^'Controls'!$F$6</x:f>
        <x:v>0</x:v>
      </x:c>
      <x:c r="L99" s="52" t="n">
        <x:f>'Controls'!$F$5*(H99*'Sources'!$J$49+I99*'Sources'!$J$50+J99*'Sources'!$J$51+K99*'Sources'!$J$52)</x:f>
        <x:v>0</x:v>
      </x:c>
      <x:c r="M99" s="53" t="n">
        <x:f>'Curve'!M100</x:f>
        <x:v>0.060302315554940714</x:v>
      </x:c>
      <x:c r="N99" s="21" t="n">
        <x:f>L99*M99</x:f>
        <x:v>0</x:v>
      </x:c>
      <x:c r="O99" s="21" t="n">
        <x:f>C99*N99</x:f>
        <x:v>0</x:v>
      </x:c>
      <x:c r="P99" s="21" t="n">
        <x:f>C99*O99</x:f>
        <x:v>0</x:v>
      </x:c>
      <x:c r="Q99" s="21" t="n">
        <x:f>IF(C99&gt;30,N99,0)</x:f>
        <x:v>0</x:v>
      </x:c>
      <x:c r="R99" s="52" t="n">
        <x:f>O99*'Curve'!N100</x:f>
        <x:v>0</x:v>
      </x:c>
      <x:c r="S99" s="52" t="n">
        <x:f>O99*'Curve'!O100</x:f>
        <x:v>0</x:v>
      </x:c>
      <x:c r="T99" s="52" t="n">
        <x:f>O99*'Curve'!P100</x:f>
        <x:v>0</x:v>
      </x:c>
      <x:c r="U99" s="52" t="n">
        <x:f>O99*'Curve'!Q100</x:f>
        <x:v>0</x:v>
      </x:c>
      <x:c r="V99" s="52" t="n">
        <x:f>O99*'Curve'!R100</x:f>
        <x:v>0</x:v>
      </x:c>
      <x:c r="W99" s="52" t="n">
        <x:f>L99*'Curve'!J100</x:f>
        <x:v>0</x:v>
      </x:c>
    </x:row>
    <x:row r="100" ht="20" customHeight="1">
      <x:c r="A100" s="2"/>
      <x:c r="B100" s="2"/>
      <x:c r="C100" s="2" t="n">
        <x:v>95</x:v>
      </x:c>
      <x:c r="D100" s="46" t="n">
        <x:f>IF(C100+'Sources'!$I$49-1&gt;='Controls'!$F$7,1,INDEX('Sources'!$D$15:$D$134,C100+'Sources'!$I$49))</x:f>
        <x:v>1</x:v>
      </x:c>
      <x:c r="E100" s="46" t="n">
        <x:f>IF(C100+'Sources'!$I$50-1&gt;='Controls'!$F$7,1,INDEX('Sources'!$E$15:$E$134,C100+'Sources'!$I$50))</x:f>
        <x:v>1</x:v>
      </x:c>
      <x:c r="F100" s="46" t="n">
        <x:f>IF(C100+'Sources'!$I$51-1&gt;='Controls'!$F$7,1,INDEX('Sources'!$D$15:$D$134,C100+'Sources'!$I$51))</x:f>
        <x:v>1</x:v>
      </x:c>
      <x:c r="G100" s="46" t="n">
        <x:f>IF(C100+'Sources'!$I$52-1&gt;='Controls'!$F$7,1,INDEX('Sources'!$E$15:$E$134,C100+'Sources'!$I$52))</x:f>
        <x:v>1</x:v>
      </x:c>
      <x:c r="H100" s="20" t="n">
        <x:f>H99*(1-D100)^'Controls'!$F$6</x:f>
        <x:v>0</x:v>
      </x:c>
      <x:c r="I100" s="20" t="n">
        <x:f>I99*(1-E100)^'Controls'!$F$6</x:f>
        <x:v>0</x:v>
      </x:c>
      <x:c r="J100" s="20" t="n">
        <x:f>J99*(1-F100)^'Controls'!$F$6</x:f>
        <x:v>0</x:v>
      </x:c>
      <x:c r="K100" s="20" t="n">
        <x:f>K99*(1-G100)^'Controls'!$F$6</x:f>
        <x:v>0</x:v>
      </x:c>
      <x:c r="L100" s="52" t="n">
        <x:f>'Controls'!$F$5*(H100*'Sources'!$J$49+I100*'Sources'!$J$50+J100*'Sources'!$J$51+K100*'Sources'!$J$52)</x:f>
        <x:v>0</x:v>
      </x:c>
      <x:c r="M100" s="53" t="n">
        <x:f>'Curve'!M101</x:f>
        <x:v>0.06015149198851723</x:v>
      </x:c>
      <x:c r="N100" s="21" t="n">
        <x:f>L100*M100</x:f>
        <x:v>0</x:v>
      </x:c>
      <x:c r="O100" s="21" t="n">
        <x:f>C100*N100</x:f>
        <x:v>0</x:v>
      </x:c>
      <x:c r="P100" s="21" t="n">
        <x:f>C100*O100</x:f>
        <x:v>0</x:v>
      </x:c>
      <x:c r="Q100" s="21" t="n">
        <x:f>IF(C100&gt;30,N100,0)</x:f>
        <x:v>0</x:v>
      </x:c>
      <x:c r="R100" s="52" t="n">
        <x:f>O100*'Curve'!N101</x:f>
        <x:v>0</x:v>
      </x:c>
      <x:c r="S100" s="52" t="n">
        <x:f>O100*'Curve'!O101</x:f>
        <x:v>0</x:v>
      </x:c>
      <x:c r="T100" s="52" t="n">
        <x:f>O100*'Curve'!P101</x:f>
        <x:v>0</x:v>
      </x:c>
      <x:c r="U100" s="52" t="n">
        <x:f>O100*'Curve'!Q101</x:f>
        <x:v>0</x:v>
      </x:c>
      <x:c r="V100" s="52" t="n">
        <x:f>O100*'Curve'!R101</x:f>
        <x:v>0</x:v>
      </x:c>
      <x:c r="W100" s="52" t="n">
        <x:f>L100*'Curve'!J101</x:f>
        <x:v>0</x:v>
      </x:c>
    </x:row>
    <x:row r="101" ht="20" customHeight="1">
      <x:c r="A101" s="2"/>
      <x:c r="B101" s="2"/>
      <x:c r="C101" s="2" t="n">
        <x:v>96</x:v>
      </x:c>
      <x:c r="D101" s="46" t="n">
        <x:f>IF(C101+'Sources'!$I$49-1&gt;='Controls'!$F$7,1,INDEX('Sources'!$D$15:$D$134,C101+'Sources'!$I$49))</x:f>
        <x:v>1</x:v>
      </x:c>
      <x:c r="E101" s="46" t="n">
        <x:f>IF(C101+'Sources'!$I$50-1&gt;='Controls'!$F$7,1,INDEX('Sources'!$E$15:$E$134,C101+'Sources'!$I$50))</x:f>
        <x:v>1</x:v>
      </x:c>
      <x:c r="F101" s="46" t="n">
        <x:f>IF(C101+'Sources'!$I$51-1&gt;='Controls'!$F$7,1,INDEX('Sources'!$D$15:$D$134,C101+'Sources'!$I$51))</x:f>
        <x:v>1</x:v>
      </x:c>
      <x:c r="G101" s="46" t="n">
        <x:f>IF(C101+'Sources'!$I$52-1&gt;='Controls'!$F$7,1,INDEX('Sources'!$E$15:$E$134,C101+'Sources'!$I$52))</x:f>
        <x:v>1</x:v>
      </x:c>
      <x:c r="H101" s="20" t="n">
        <x:f>H100*(1-D101)^'Controls'!$F$6</x:f>
        <x:v>0</x:v>
      </x:c>
      <x:c r="I101" s="20" t="n">
        <x:f>I100*(1-E101)^'Controls'!$F$6</x:f>
        <x:v>0</x:v>
      </x:c>
      <x:c r="J101" s="20" t="n">
        <x:f>J100*(1-F101)^'Controls'!$F$6</x:f>
        <x:v>0</x:v>
      </x:c>
      <x:c r="K101" s="20" t="n">
        <x:f>K100*(1-G101)^'Controls'!$F$6</x:f>
        <x:v>0</x:v>
      </x:c>
      <x:c r="L101" s="52" t="n">
        <x:f>'Controls'!$F$5*(H101*'Sources'!$J$49+I101*'Sources'!$J$50+J101*'Sources'!$J$51+K101*'Sources'!$J$52)</x:f>
        <x:v>0</x:v>
      </x:c>
      <x:c r="M101" s="53" t="n">
        <x:f>'Curve'!M102</x:f>
        <x:v>0.06000882485095675</x:v>
      </x:c>
      <x:c r="N101" s="21" t="n">
        <x:f>L101*M101</x:f>
        <x:v>0</x:v>
      </x:c>
      <x:c r="O101" s="21" t="n">
        <x:f>C101*N101</x:f>
        <x:v>0</x:v>
      </x:c>
      <x:c r="P101" s="21" t="n">
        <x:f>C101*O101</x:f>
        <x:v>0</x:v>
      </x:c>
      <x:c r="Q101" s="21" t="n">
        <x:f>IF(C101&gt;30,N101,0)</x:f>
        <x:v>0</x:v>
      </x:c>
      <x:c r="R101" s="52" t="n">
        <x:f>O101*'Curve'!N102</x:f>
        <x:v>0</x:v>
      </x:c>
      <x:c r="S101" s="52" t="n">
        <x:f>O101*'Curve'!O102</x:f>
        <x:v>0</x:v>
      </x:c>
      <x:c r="T101" s="52" t="n">
        <x:f>O101*'Curve'!P102</x:f>
        <x:v>0</x:v>
      </x:c>
      <x:c r="U101" s="52" t="n">
        <x:f>O101*'Curve'!Q102</x:f>
        <x:v>0</x:v>
      </x:c>
      <x:c r="V101" s="52" t="n">
        <x:f>O101*'Curve'!R102</x:f>
        <x:v>0</x:v>
      </x:c>
      <x:c r="W101" s="52" t="n">
        <x:f>L101*'Curve'!J102</x:f>
        <x:v>0</x:v>
      </x:c>
    </x:row>
    <x:row r="102" ht="20" customHeight="1">
      <x:c r="A102" s="2"/>
      <x:c r="B102" s="2"/>
      <x:c r="C102" s="2" t="n">
        <x:v>97</x:v>
      </x:c>
      <x:c r="D102" s="46" t="n">
        <x:f>IF(C102+'Sources'!$I$49-1&gt;='Controls'!$F$7,1,INDEX('Sources'!$D$15:$D$134,C102+'Sources'!$I$49))</x:f>
        <x:v>1</x:v>
      </x:c>
      <x:c r="E102" s="46" t="n">
        <x:f>IF(C102+'Sources'!$I$50-1&gt;='Controls'!$F$7,1,INDEX('Sources'!$E$15:$E$134,C102+'Sources'!$I$50))</x:f>
        <x:v>1</x:v>
      </x:c>
      <x:c r="F102" s="46" t="n">
        <x:f>IF(C102+'Sources'!$I$51-1&gt;='Controls'!$F$7,1,INDEX('Sources'!$D$15:$D$134,C102+'Sources'!$I$51))</x:f>
        <x:v>1</x:v>
      </x:c>
      <x:c r="G102" s="46" t="n">
        <x:f>IF(C102+'Sources'!$I$52-1&gt;='Controls'!$F$7,1,INDEX('Sources'!$E$15:$E$134,C102+'Sources'!$I$52))</x:f>
        <x:v>1</x:v>
      </x:c>
      <x:c r="H102" s="20" t="n">
        <x:f>H101*(1-D102)^'Controls'!$F$6</x:f>
        <x:v>0</x:v>
      </x:c>
      <x:c r="I102" s="20" t="n">
        <x:f>I101*(1-E102)^'Controls'!$F$6</x:f>
        <x:v>0</x:v>
      </x:c>
      <x:c r="J102" s="20" t="n">
        <x:f>J101*(1-F102)^'Controls'!$F$6</x:f>
        <x:v>0</x:v>
      </x:c>
      <x:c r="K102" s="20" t="n">
        <x:f>K101*(1-G102)^'Controls'!$F$6</x:f>
        <x:v>0</x:v>
      </x:c>
      <x:c r="L102" s="52" t="n">
        <x:f>'Controls'!$F$5*(H102*'Sources'!$J$49+I102*'Sources'!$J$50+J102*'Sources'!$J$51+K102*'Sources'!$J$52)</x:f>
        <x:v>0</x:v>
      </x:c>
      <x:c r="M102" s="53" t="n">
        <x:f>'Curve'!M103</x:f>
        <x:v>0.05987387078822774</x:v>
      </x:c>
      <x:c r="N102" s="21" t="n">
        <x:f>L102*M102</x:f>
        <x:v>0</x:v>
      </x:c>
      <x:c r="O102" s="21" t="n">
        <x:f>C102*N102</x:f>
        <x:v>0</x:v>
      </x:c>
      <x:c r="P102" s="21" t="n">
        <x:f>C102*O102</x:f>
        <x:v>0</x:v>
      </x:c>
      <x:c r="Q102" s="21" t="n">
        <x:f>IF(C102&gt;30,N102,0)</x:f>
        <x:v>0</x:v>
      </x:c>
      <x:c r="R102" s="52" t="n">
        <x:f>O102*'Curve'!N103</x:f>
        <x:v>0</x:v>
      </x:c>
      <x:c r="S102" s="52" t="n">
        <x:f>O102*'Curve'!O103</x:f>
        <x:v>0</x:v>
      </x:c>
      <x:c r="T102" s="52" t="n">
        <x:f>O102*'Curve'!P103</x:f>
        <x:v>0</x:v>
      </x:c>
      <x:c r="U102" s="52" t="n">
        <x:f>O102*'Curve'!Q103</x:f>
        <x:v>0</x:v>
      </x:c>
      <x:c r="V102" s="52" t="n">
        <x:f>O102*'Curve'!R103</x:f>
        <x:v>0</x:v>
      </x:c>
      <x:c r="W102" s="52" t="n">
        <x:f>L102*'Curve'!J103</x:f>
        <x:v>0</x:v>
      </x:c>
    </x:row>
    <x:row r="103" ht="20" customHeight="1">
      <x:c r="A103" s="2"/>
      <x:c r="B103" s="2"/>
      <x:c r="C103" s="2" t="n">
        <x:v>98</x:v>
      </x:c>
      <x:c r="D103" s="46" t="n">
        <x:f>IF(C103+'Sources'!$I$49-1&gt;='Controls'!$F$7,1,INDEX('Sources'!$D$15:$D$134,C103+'Sources'!$I$49))</x:f>
        <x:v>1</x:v>
      </x:c>
      <x:c r="E103" s="46" t="n">
        <x:f>IF(C103+'Sources'!$I$50-1&gt;='Controls'!$F$7,1,INDEX('Sources'!$E$15:$E$134,C103+'Sources'!$I$50))</x:f>
        <x:v>1</x:v>
      </x:c>
      <x:c r="F103" s="46" t="n">
        <x:f>IF(C103+'Sources'!$I$51-1&gt;='Controls'!$F$7,1,INDEX('Sources'!$D$15:$D$134,C103+'Sources'!$I$51))</x:f>
        <x:v>1</x:v>
      </x:c>
      <x:c r="G103" s="46" t="n">
        <x:f>IF(C103+'Sources'!$I$52-1&gt;='Controls'!$F$7,1,INDEX('Sources'!$E$15:$E$134,C103+'Sources'!$I$52))</x:f>
        <x:v>1</x:v>
      </x:c>
      <x:c r="H103" s="20" t="n">
        <x:f>H102*(1-D103)^'Controls'!$F$6</x:f>
        <x:v>0</x:v>
      </x:c>
      <x:c r="I103" s="20" t="n">
        <x:f>I102*(1-E103)^'Controls'!$F$6</x:f>
        <x:v>0</x:v>
      </x:c>
      <x:c r="J103" s="20" t="n">
        <x:f>J102*(1-F103)^'Controls'!$F$6</x:f>
        <x:v>0</x:v>
      </x:c>
      <x:c r="K103" s="20" t="n">
        <x:f>K102*(1-G103)^'Controls'!$F$6</x:f>
        <x:v>0</x:v>
      </x:c>
      <x:c r="L103" s="52" t="n">
        <x:f>'Controls'!$F$5*(H103*'Sources'!$J$49+I103*'Sources'!$J$50+J103*'Sources'!$J$51+K103*'Sources'!$J$52)</x:f>
        <x:v>0</x:v>
      </x:c>
      <x:c r="M103" s="53" t="n">
        <x:f>'Curve'!M104</x:f>
        <x:v>0.059746211184125396</x:v>
      </x:c>
      <x:c r="N103" s="21" t="n">
        <x:f>L103*M103</x:f>
        <x:v>0</x:v>
      </x:c>
      <x:c r="O103" s="21" t="n">
        <x:f>C103*N103</x:f>
        <x:v>0</x:v>
      </x:c>
      <x:c r="P103" s="21" t="n">
        <x:f>C103*O103</x:f>
        <x:v>0</x:v>
      </x:c>
      <x:c r="Q103" s="21" t="n">
        <x:f>IF(C103&gt;30,N103,0)</x:f>
        <x:v>0</x:v>
      </x:c>
      <x:c r="R103" s="52" t="n">
        <x:f>O103*'Curve'!N104</x:f>
        <x:v>0</x:v>
      </x:c>
      <x:c r="S103" s="52" t="n">
        <x:f>O103*'Curve'!O104</x:f>
        <x:v>0</x:v>
      </x:c>
      <x:c r="T103" s="52" t="n">
        <x:f>O103*'Curve'!P104</x:f>
        <x:v>0</x:v>
      </x:c>
      <x:c r="U103" s="52" t="n">
        <x:f>O103*'Curve'!Q104</x:f>
        <x:v>0</x:v>
      </x:c>
      <x:c r="V103" s="52" t="n">
        <x:f>O103*'Curve'!R104</x:f>
        <x:v>0</x:v>
      </x:c>
      <x:c r="W103" s="52" t="n">
        <x:f>L103*'Curve'!J104</x:f>
        <x:v>0</x:v>
      </x:c>
    </x:row>
    <x:row r="104" ht="20" customHeight="1">
      <x:c r="A104" s="2"/>
      <x:c r="B104" s="2"/>
      <x:c r="C104" s="2" t="n">
        <x:v>99</x:v>
      </x:c>
      <x:c r="D104" s="46" t="n">
        <x:f>IF(C104+'Sources'!$I$49-1&gt;='Controls'!$F$7,1,INDEX('Sources'!$D$15:$D$134,C104+'Sources'!$I$49))</x:f>
        <x:v>1</x:v>
      </x:c>
      <x:c r="E104" s="46" t="n">
        <x:f>IF(C104+'Sources'!$I$50-1&gt;='Controls'!$F$7,1,INDEX('Sources'!$E$15:$E$134,C104+'Sources'!$I$50))</x:f>
        <x:v>1</x:v>
      </x:c>
      <x:c r="F104" s="46" t="n">
        <x:f>IF(C104+'Sources'!$I$51-1&gt;='Controls'!$F$7,1,INDEX('Sources'!$D$15:$D$134,C104+'Sources'!$I$51))</x:f>
        <x:v>1</x:v>
      </x:c>
      <x:c r="G104" s="46" t="n">
        <x:f>IF(C104+'Sources'!$I$52-1&gt;='Controls'!$F$7,1,INDEX('Sources'!$E$15:$E$134,C104+'Sources'!$I$52))</x:f>
        <x:v>1</x:v>
      </x:c>
      <x:c r="H104" s="20" t="n">
        <x:f>H103*(1-D104)^'Controls'!$F$6</x:f>
        <x:v>0</x:v>
      </x:c>
      <x:c r="I104" s="20" t="n">
        <x:f>I103*(1-E104)^'Controls'!$F$6</x:f>
        <x:v>0</x:v>
      </x:c>
      <x:c r="J104" s="20" t="n">
        <x:f>J103*(1-F104)^'Controls'!$F$6</x:f>
        <x:v>0</x:v>
      </x:c>
      <x:c r="K104" s="20" t="n">
        <x:f>K103*(1-G104)^'Controls'!$F$6</x:f>
        <x:v>0</x:v>
      </x:c>
      <x:c r="L104" s="52" t="n">
        <x:f>'Controls'!$F$5*(H104*'Sources'!$J$49+I104*'Sources'!$J$50+J104*'Sources'!$J$51+K104*'Sources'!$J$52)</x:f>
        <x:v>0</x:v>
      </x:c>
      <x:c r="M104" s="53" t="n">
        <x:f>'Curve'!M105</x:f>
        <x:v>0.059625450691132384</x:v>
      </x:c>
      <x:c r="N104" s="21" t="n">
        <x:f>L104*M104</x:f>
        <x:v>0</x:v>
      </x:c>
      <x:c r="O104" s="21" t="n">
        <x:f>C104*N104</x:f>
        <x:v>0</x:v>
      </x:c>
      <x:c r="P104" s="21" t="n">
        <x:f>C104*O104</x:f>
        <x:v>0</x:v>
      </x:c>
      <x:c r="Q104" s="21" t="n">
        <x:f>IF(C104&gt;30,N104,0)</x:f>
        <x:v>0</x:v>
      </x:c>
      <x:c r="R104" s="52" t="n">
        <x:f>O104*'Curve'!N105</x:f>
        <x:v>0</x:v>
      </x:c>
      <x:c r="S104" s="52" t="n">
        <x:f>O104*'Curve'!O105</x:f>
        <x:v>0</x:v>
      </x:c>
      <x:c r="T104" s="52" t="n">
        <x:f>O104*'Curve'!P105</x:f>
        <x:v>0</x:v>
      </x:c>
      <x:c r="U104" s="52" t="n">
        <x:f>O104*'Curve'!Q105</x:f>
        <x:v>0</x:v>
      </x:c>
      <x:c r="V104" s="52" t="n">
        <x:f>O104*'Curve'!R105</x:f>
        <x:v>0</x:v>
      </x:c>
      <x:c r="W104" s="52" t="n">
        <x:f>L104*'Curve'!J105</x:f>
        <x:v>0</x:v>
      </x:c>
    </x:row>
    <x:row r="105" ht="20" customHeight="1">
      <x:c r="A105" s="2"/>
      <x:c r="B105" s="2"/>
      <x:c r="C105" s="2" t="n">
        <x:v>100</x:v>
      </x:c>
      <x:c r="D105" s="46" t="n">
        <x:f>IF(C105+'Sources'!$I$49-1&gt;='Controls'!$F$7,1,INDEX('Sources'!$D$15:$D$134,C105+'Sources'!$I$49))</x:f>
        <x:v>1</x:v>
      </x:c>
      <x:c r="E105" s="46" t="n">
        <x:f>IF(C105+'Sources'!$I$50-1&gt;='Controls'!$F$7,1,INDEX('Sources'!$E$15:$E$134,C105+'Sources'!$I$50))</x:f>
        <x:v>1</x:v>
      </x:c>
      <x:c r="F105" s="46" t="n">
        <x:f>IF(C105+'Sources'!$I$51-1&gt;='Controls'!$F$7,1,INDEX('Sources'!$D$15:$D$134,C105+'Sources'!$I$51))</x:f>
        <x:v>1</x:v>
      </x:c>
      <x:c r="G105" s="46" t="n">
        <x:f>IF(C105+'Sources'!$I$52-1&gt;='Controls'!$F$7,1,INDEX('Sources'!$E$15:$E$134,C105+'Sources'!$I$52))</x:f>
        <x:v>1</x:v>
      </x:c>
      <x:c r="H105" s="20" t="n">
        <x:f>H104*(1-D105)^'Controls'!$F$6</x:f>
        <x:v>0</x:v>
      </x:c>
      <x:c r="I105" s="20" t="n">
        <x:f>I104*(1-E105)^'Controls'!$F$6</x:f>
        <x:v>0</x:v>
      </x:c>
      <x:c r="J105" s="20" t="n">
        <x:f>J104*(1-F105)^'Controls'!$F$6</x:f>
        <x:v>0</x:v>
      </x:c>
      <x:c r="K105" s="20" t="n">
        <x:f>K104*(1-G105)^'Controls'!$F$6</x:f>
        <x:v>0</x:v>
      </x:c>
      <x:c r="L105" s="52" t="n">
        <x:f>'Controls'!$F$5*(H105*'Sources'!$J$49+I105*'Sources'!$J$50+J105*'Sources'!$J$51+K105*'Sources'!$J$52)</x:f>
        <x:v>0</x:v>
      </x:c>
      <x:c r="M105" s="53" t="n">
        <x:f>'Curve'!M106</x:f>
        <x:v>0.059511215858383454</x:v>
      </x:c>
      <x:c r="N105" s="21" t="n">
        <x:f>L105*M105</x:f>
        <x:v>0</x:v>
      </x:c>
      <x:c r="O105" s="21" t="n">
        <x:f>C105*N105</x:f>
        <x:v>0</x:v>
      </x:c>
      <x:c r="P105" s="21" t="n">
        <x:f>C105*O105</x:f>
        <x:v>0</x:v>
      </x:c>
      <x:c r="Q105" s="21" t="n">
        <x:f>IF(C105&gt;30,N105,0)</x:f>
        <x:v>0</x:v>
      </x:c>
      <x:c r="R105" s="52" t="n">
        <x:f>O105*'Curve'!N106</x:f>
        <x:v>0</x:v>
      </x:c>
      <x:c r="S105" s="52" t="n">
        <x:f>O105*'Curve'!O106</x:f>
        <x:v>0</x:v>
      </x:c>
      <x:c r="T105" s="52" t="n">
        <x:f>O105*'Curve'!P106</x:f>
        <x:v>0</x:v>
      </x:c>
      <x:c r="U105" s="52" t="n">
        <x:f>O105*'Curve'!Q106</x:f>
        <x:v>0</x:v>
      </x:c>
      <x:c r="V105" s="52" t="n">
        <x:f>O105*'Curve'!R106</x:f>
        <x:v>0</x:v>
      </x:c>
      <x:c r="W105" s="52" t="n">
        <x:f>L105*'Curve'!J106</x:f>
        <x:v>0</x:v>
      </x:c>
    </x:row>
    <x:row r="106" ht="20" customHeight="1">
      <x:c r="A106" s="2"/>
      <x:c r="B106" s="2"/>
      <x:c r="C106" s="2" t="n">
        <x:v>101</x:v>
      </x:c>
      <x:c r="D106" s="46" t="n">
        <x:f>IF(C106+'Sources'!$I$49-1&gt;='Controls'!$F$7,1,INDEX('Sources'!$D$15:$D$134,C106+'Sources'!$I$49))</x:f>
        <x:v>1</x:v>
      </x:c>
      <x:c r="E106" s="46" t="n">
        <x:f>IF(C106+'Sources'!$I$50-1&gt;='Controls'!$F$7,1,INDEX('Sources'!$E$15:$E$134,C106+'Sources'!$I$50))</x:f>
        <x:v>1</x:v>
      </x:c>
      <x:c r="F106" s="46" t="n">
        <x:f>IF(C106+'Sources'!$I$51-1&gt;='Controls'!$F$7,1,INDEX('Sources'!$D$15:$D$134,C106+'Sources'!$I$51))</x:f>
        <x:v>1</x:v>
      </x:c>
      <x:c r="G106" s="46" t="n">
        <x:f>IF(C106+'Sources'!$I$52-1&gt;='Controls'!$F$7,1,INDEX('Sources'!$E$15:$E$134,C106+'Sources'!$I$52))</x:f>
        <x:v>1</x:v>
      </x:c>
      <x:c r="H106" s="20" t="n">
        <x:f>H105*(1-D106)^'Controls'!$F$6</x:f>
        <x:v>0</x:v>
      </x:c>
      <x:c r="I106" s="20" t="n">
        <x:f>I105*(1-E106)^'Controls'!$F$6</x:f>
        <x:v>0</x:v>
      </x:c>
      <x:c r="J106" s="20" t="n">
        <x:f>J105*(1-F106)^'Controls'!$F$6</x:f>
        <x:v>0</x:v>
      </x:c>
      <x:c r="K106" s="20" t="n">
        <x:f>K105*(1-G106)^'Controls'!$F$6</x:f>
        <x:v>0</x:v>
      </x:c>
      <x:c r="L106" s="52" t="n">
        <x:f>'Controls'!$F$5*(H106*'Sources'!$J$49+I106*'Sources'!$J$50+J106*'Sources'!$J$51+K106*'Sources'!$J$52)</x:f>
        <x:v>0</x:v>
      </x:c>
      <x:c r="M106" s="53" t="n">
        <x:f>'Curve'!M107</x:f>
        <x:v>0.05940315384939054</x:v>
      </x:c>
      <x:c r="N106" s="21" t="n">
        <x:f>L106*M106</x:f>
        <x:v>0</x:v>
      </x:c>
      <x:c r="O106" s="21" t="n">
        <x:f>C106*N106</x:f>
        <x:v>0</x:v>
      </x:c>
      <x:c r="P106" s="21" t="n">
        <x:f>C106*O106</x:f>
        <x:v>0</x:v>
      </x:c>
      <x:c r="Q106" s="21" t="n">
        <x:f>IF(C106&gt;30,N106,0)</x:f>
        <x:v>0</x:v>
      </x:c>
      <x:c r="R106" s="52" t="n">
        <x:f>O106*'Curve'!N107</x:f>
        <x:v>0</x:v>
      </x:c>
      <x:c r="S106" s="52" t="n">
        <x:f>O106*'Curve'!O107</x:f>
        <x:v>0</x:v>
      </x:c>
      <x:c r="T106" s="52" t="n">
        <x:f>O106*'Curve'!P107</x:f>
        <x:v>0</x:v>
      </x:c>
      <x:c r="U106" s="52" t="n">
        <x:f>O106*'Curve'!Q107</x:f>
        <x:v>0</x:v>
      </x:c>
      <x:c r="V106" s="52" t="n">
        <x:f>O106*'Curve'!R107</x:f>
        <x:v>0</x:v>
      </x:c>
      <x:c r="W106" s="52" t="n">
        <x:f>L106*'Curve'!J107</x:f>
        <x:v>0</x:v>
      </x:c>
    </x:row>
    <x:row r="107" ht="20" customHeight="1">
      <x:c r="A107" s="2"/>
      <x:c r="B107" s="2"/>
      <x:c r="C107" s="2" t="n">
        <x:v>102</x:v>
      </x:c>
      <x:c r="D107" s="46" t="n">
        <x:f>IF(C107+'Sources'!$I$49-1&gt;='Controls'!$F$7,1,INDEX('Sources'!$D$15:$D$134,C107+'Sources'!$I$49))</x:f>
        <x:v>1</x:v>
      </x:c>
      <x:c r="E107" s="46" t="n">
        <x:f>IF(C107+'Sources'!$I$50-1&gt;='Controls'!$F$7,1,INDEX('Sources'!$E$15:$E$134,C107+'Sources'!$I$50))</x:f>
        <x:v>1</x:v>
      </x:c>
      <x:c r="F107" s="46" t="n">
        <x:f>IF(C107+'Sources'!$I$51-1&gt;='Controls'!$F$7,1,INDEX('Sources'!$D$15:$D$134,C107+'Sources'!$I$51))</x:f>
        <x:v>1</x:v>
      </x:c>
      <x:c r="G107" s="46" t="n">
        <x:f>IF(C107+'Sources'!$I$52-1&gt;='Controls'!$F$7,1,INDEX('Sources'!$E$15:$E$134,C107+'Sources'!$I$52))</x:f>
        <x:v>1</x:v>
      </x:c>
      <x:c r="H107" s="20" t="n">
        <x:f>H106*(1-D107)^'Controls'!$F$6</x:f>
        <x:v>0</x:v>
      </x:c>
      <x:c r="I107" s="20" t="n">
        <x:f>I106*(1-E107)^'Controls'!$F$6</x:f>
        <x:v>0</x:v>
      </x:c>
      <x:c r="J107" s="20" t="n">
        <x:f>J106*(1-F107)^'Controls'!$F$6</x:f>
        <x:v>0</x:v>
      </x:c>
      <x:c r="K107" s="20" t="n">
        <x:f>K106*(1-G107)^'Controls'!$F$6</x:f>
        <x:v>0</x:v>
      </x:c>
      <x:c r="L107" s="52" t="n">
        <x:f>'Controls'!$F$5*(H107*'Sources'!$J$49+I107*'Sources'!$J$50+J107*'Sources'!$J$51+K107*'Sources'!$J$52)</x:f>
        <x:v>0</x:v>
      </x:c>
      <x:c r="M107" s="53" t="n">
        <x:f>'Curve'!M108</x:f>
        <x:v>0.059300931242816456</x:v>
      </x:c>
      <x:c r="N107" s="21" t="n">
        <x:f>L107*M107</x:f>
        <x:v>0</x:v>
      </x:c>
      <x:c r="O107" s="21" t="n">
        <x:f>C107*N107</x:f>
        <x:v>0</x:v>
      </x:c>
      <x:c r="P107" s="21" t="n">
        <x:f>C107*O107</x:f>
        <x:v>0</x:v>
      </x:c>
      <x:c r="Q107" s="21" t="n">
        <x:f>IF(C107&gt;30,N107,0)</x:f>
        <x:v>0</x:v>
      </x:c>
      <x:c r="R107" s="52" t="n">
        <x:f>O107*'Curve'!N108</x:f>
        <x:v>0</x:v>
      </x:c>
      <x:c r="S107" s="52" t="n">
        <x:f>O107*'Curve'!O108</x:f>
        <x:v>0</x:v>
      </x:c>
      <x:c r="T107" s="52" t="n">
        <x:f>O107*'Curve'!P108</x:f>
        <x:v>0</x:v>
      </x:c>
      <x:c r="U107" s="52" t="n">
        <x:f>O107*'Curve'!Q108</x:f>
        <x:v>0</x:v>
      </x:c>
      <x:c r="V107" s="52" t="n">
        <x:f>O107*'Curve'!R108</x:f>
        <x:v>0</x:v>
      </x:c>
      <x:c r="W107" s="52" t="n">
        <x:f>L107*'Curve'!J108</x:f>
        <x:v>0</x:v>
      </x:c>
    </x:row>
    <x:row r="108" ht="20" customHeight="1">
      <x:c r="A108" s="2"/>
      <x:c r="B108" s="2"/>
      <x:c r="C108" s="2" t="n">
        <x:v>103</x:v>
      </x:c>
      <x:c r="D108" s="46" t="n">
        <x:f>IF(C108+'Sources'!$I$49-1&gt;='Controls'!$F$7,1,INDEX('Sources'!$D$15:$D$134,C108+'Sources'!$I$49))</x:f>
        <x:v>1</x:v>
      </x:c>
      <x:c r="E108" s="46" t="n">
        <x:f>IF(C108+'Sources'!$I$50-1&gt;='Controls'!$F$7,1,INDEX('Sources'!$E$15:$E$134,C108+'Sources'!$I$50))</x:f>
        <x:v>1</x:v>
      </x:c>
      <x:c r="F108" s="46" t="n">
        <x:f>IF(C108+'Sources'!$I$51-1&gt;='Controls'!$F$7,1,INDEX('Sources'!$D$15:$D$134,C108+'Sources'!$I$51))</x:f>
        <x:v>1</x:v>
      </x:c>
      <x:c r="G108" s="46" t="n">
        <x:f>IF(C108+'Sources'!$I$52-1&gt;='Controls'!$F$7,1,INDEX('Sources'!$E$15:$E$134,C108+'Sources'!$I$52))</x:f>
        <x:v>1</x:v>
      </x:c>
      <x:c r="H108" s="20" t="n">
        <x:f>H107*(1-D108)^'Controls'!$F$6</x:f>
        <x:v>0</x:v>
      </x:c>
      <x:c r="I108" s="20" t="n">
        <x:f>I107*(1-E108)^'Controls'!$F$6</x:f>
        <x:v>0</x:v>
      </x:c>
      <x:c r="J108" s="20" t="n">
        <x:f>J107*(1-F108)^'Controls'!$F$6</x:f>
        <x:v>0</x:v>
      </x:c>
      <x:c r="K108" s="20" t="n">
        <x:f>K107*(1-G108)^'Controls'!$F$6</x:f>
        <x:v>0</x:v>
      </x:c>
      <x:c r="L108" s="52" t="n">
        <x:f>'Controls'!$F$5*(H108*'Sources'!$J$49+I108*'Sources'!$J$50+J108*'Sources'!$J$51+K108*'Sources'!$J$52)</x:f>
        <x:v>0</x:v>
      </x:c>
      <x:c r="M108" s="53" t="n">
        <x:f>'Curve'!M109</x:f>
        <x:v>0.05920423291015158</x:v>
      </x:c>
      <x:c r="N108" s="21" t="n">
        <x:f>L108*M108</x:f>
        <x:v>0</x:v>
      </x:c>
      <x:c r="O108" s="21" t="n">
        <x:f>C108*N108</x:f>
        <x:v>0</x:v>
      </x:c>
      <x:c r="P108" s="21" t="n">
        <x:f>C108*O108</x:f>
        <x:v>0</x:v>
      </x:c>
      <x:c r="Q108" s="21" t="n">
        <x:f>IF(C108&gt;30,N108,0)</x:f>
        <x:v>0</x:v>
      </x:c>
      <x:c r="R108" s="52" t="n">
        <x:f>O108*'Curve'!N109</x:f>
        <x:v>0</x:v>
      </x:c>
      <x:c r="S108" s="52" t="n">
        <x:f>O108*'Curve'!O109</x:f>
        <x:v>0</x:v>
      </x:c>
      <x:c r="T108" s="52" t="n">
        <x:f>O108*'Curve'!P109</x:f>
        <x:v>0</x:v>
      </x:c>
      <x:c r="U108" s="52" t="n">
        <x:f>O108*'Curve'!Q109</x:f>
        <x:v>0</x:v>
      </x:c>
      <x:c r="V108" s="52" t="n">
        <x:f>O108*'Curve'!R109</x:f>
        <x:v>0</x:v>
      </x:c>
      <x:c r="W108" s="52" t="n">
        <x:f>L108*'Curve'!J109</x:f>
        <x:v>0</x:v>
      </x:c>
    </x:row>
    <x:row r="109" ht="20" customHeight="1">
      <x:c r="A109" s="2"/>
      <x:c r="B109" s="2"/>
      <x:c r="C109" s="2" t="n">
        <x:v>104</x:v>
      </x:c>
      <x:c r="D109" s="46" t="n">
        <x:f>IF(C109+'Sources'!$I$49-1&gt;='Controls'!$F$7,1,INDEX('Sources'!$D$15:$D$134,C109+'Sources'!$I$49))</x:f>
        <x:v>1</x:v>
      </x:c>
      <x:c r="E109" s="46" t="n">
        <x:f>IF(C109+'Sources'!$I$50-1&gt;='Controls'!$F$7,1,INDEX('Sources'!$E$15:$E$134,C109+'Sources'!$I$50))</x:f>
        <x:v>1</x:v>
      </x:c>
      <x:c r="F109" s="46" t="n">
        <x:f>IF(C109+'Sources'!$I$51-1&gt;='Controls'!$F$7,1,INDEX('Sources'!$D$15:$D$134,C109+'Sources'!$I$51))</x:f>
        <x:v>1</x:v>
      </x:c>
      <x:c r="G109" s="46" t="n">
        <x:f>IF(C109+'Sources'!$I$52-1&gt;='Controls'!$F$7,1,INDEX('Sources'!$E$15:$E$134,C109+'Sources'!$I$52))</x:f>
        <x:v>1</x:v>
      </x:c>
      <x:c r="H109" s="20" t="n">
        <x:f>H108*(1-D109)^'Controls'!$F$6</x:f>
        <x:v>0</x:v>
      </x:c>
      <x:c r="I109" s="20" t="n">
        <x:f>I108*(1-E109)^'Controls'!$F$6</x:f>
        <x:v>0</x:v>
      </x:c>
      <x:c r="J109" s="20" t="n">
        <x:f>J108*(1-F109)^'Controls'!$F$6</x:f>
        <x:v>0</x:v>
      </x:c>
      <x:c r="K109" s="20" t="n">
        <x:f>K108*(1-G109)^'Controls'!$F$6</x:f>
        <x:v>0</x:v>
      </x:c>
      <x:c r="L109" s="52" t="n">
        <x:f>'Controls'!$F$5*(H109*'Sources'!$J$49+I109*'Sources'!$J$50+J109*'Sources'!$J$51+K109*'Sources'!$J$52)</x:f>
        <x:v>0</x:v>
      </x:c>
      <x:c r="M109" s="53" t="n">
        <x:f>'Curve'!M110</x:f>
        <x:v>0.05911276096466398</x:v>
      </x:c>
      <x:c r="N109" s="21" t="n">
        <x:f>L109*M109</x:f>
        <x:v>0</x:v>
      </x:c>
      <x:c r="O109" s="21" t="n">
        <x:f>C109*N109</x:f>
        <x:v>0</x:v>
      </x:c>
      <x:c r="P109" s="21" t="n">
        <x:f>C109*O109</x:f>
        <x:v>0</x:v>
      </x:c>
      <x:c r="Q109" s="21" t="n">
        <x:f>IF(C109&gt;30,N109,0)</x:f>
        <x:v>0</x:v>
      </x:c>
      <x:c r="R109" s="52" t="n">
        <x:f>O109*'Curve'!N110</x:f>
        <x:v>0</x:v>
      </x:c>
      <x:c r="S109" s="52" t="n">
        <x:f>O109*'Curve'!O110</x:f>
        <x:v>0</x:v>
      </x:c>
      <x:c r="T109" s="52" t="n">
        <x:f>O109*'Curve'!P110</x:f>
        <x:v>0</x:v>
      </x:c>
      <x:c r="U109" s="52" t="n">
        <x:f>O109*'Curve'!Q110</x:f>
        <x:v>0</x:v>
      </x:c>
      <x:c r="V109" s="52" t="n">
        <x:f>O109*'Curve'!R110</x:f>
        <x:v>0</x:v>
      </x:c>
      <x:c r="W109" s="52" t="n">
        <x:f>L109*'Curve'!J110</x:f>
        <x:v>0</x:v>
      </x:c>
    </x:row>
    <x:row r="110" ht="20" customHeight="1">
      <x:c r="A110" s="2"/>
      <x:c r="B110" s="2"/>
      <x:c r="C110" s="2" t="n">
        <x:v>105</x:v>
      </x:c>
      <x:c r="D110" s="46" t="n">
        <x:f>IF(C110+'Sources'!$I$49-1&gt;='Controls'!$F$7,1,INDEX('Sources'!$D$15:$D$134,C110+'Sources'!$I$49))</x:f>
        <x:v>1</x:v>
      </x:c>
      <x:c r="E110" s="46" t="n">
        <x:f>IF(C110+'Sources'!$I$50-1&gt;='Controls'!$F$7,1,INDEX('Sources'!$E$15:$E$134,C110+'Sources'!$I$50))</x:f>
        <x:v>1</x:v>
      </x:c>
      <x:c r="F110" s="46" t="n">
        <x:f>IF(C110+'Sources'!$I$51-1&gt;='Controls'!$F$7,1,INDEX('Sources'!$D$15:$D$134,C110+'Sources'!$I$51))</x:f>
        <x:v>1</x:v>
      </x:c>
      <x:c r="G110" s="46" t="n">
        <x:f>IF(C110+'Sources'!$I$52-1&gt;='Controls'!$F$7,1,INDEX('Sources'!$E$15:$E$134,C110+'Sources'!$I$52))</x:f>
        <x:v>1</x:v>
      </x:c>
      <x:c r="H110" s="20" t="n">
        <x:f>H109*(1-D110)^'Controls'!$F$6</x:f>
        <x:v>0</x:v>
      </x:c>
      <x:c r="I110" s="20" t="n">
        <x:f>I109*(1-E110)^'Controls'!$F$6</x:f>
        <x:v>0</x:v>
      </x:c>
      <x:c r="J110" s="20" t="n">
        <x:f>J109*(1-F110)^'Controls'!$F$6</x:f>
        <x:v>0</x:v>
      </x:c>
      <x:c r="K110" s="20" t="n">
        <x:f>K109*(1-G110)^'Controls'!$F$6</x:f>
        <x:v>0</x:v>
      </x:c>
      <x:c r="L110" s="52" t="n">
        <x:f>'Controls'!$F$5*(H110*'Sources'!$J$49+I110*'Sources'!$J$50+J110*'Sources'!$J$51+K110*'Sources'!$J$52)</x:f>
        <x:v>0</x:v>
      </x:c>
      <x:c r="M110" s="53" t="n">
        <x:f>'Curve'!M111</x:f>
        <x:v>0.05902623377646573</x:v>
      </x:c>
      <x:c r="N110" s="21" t="n">
        <x:f>L110*M110</x:f>
        <x:v>0</x:v>
      </x:c>
      <x:c r="O110" s="21" t="n">
        <x:f>C110*N110</x:f>
        <x:v>0</x:v>
      </x:c>
      <x:c r="P110" s="21" t="n">
        <x:f>C110*O110</x:f>
        <x:v>0</x:v>
      </x:c>
      <x:c r="Q110" s="21" t="n">
        <x:f>IF(C110&gt;30,N110,0)</x:f>
        <x:v>0</x:v>
      </x:c>
      <x:c r="R110" s="52" t="n">
        <x:f>O110*'Curve'!N111</x:f>
        <x:v>0</x:v>
      </x:c>
      <x:c r="S110" s="52" t="n">
        <x:f>O110*'Curve'!O111</x:f>
        <x:v>0</x:v>
      </x:c>
      <x:c r="T110" s="52" t="n">
        <x:f>O110*'Curve'!P111</x:f>
        <x:v>0</x:v>
      </x:c>
      <x:c r="U110" s="52" t="n">
        <x:f>O110*'Curve'!Q111</x:f>
        <x:v>0</x:v>
      </x:c>
      <x:c r="V110" s="52" t="n">
        <x:f>O110*'Curve'!R111</x:f>
        <x:v>0</x:v>
      </x:c>
      <x:c r="W110" s="52" t="n">
        <x:f>L110*'Curve'!J111</x:f>
        <x:v>0</x:v>
      </x:c>
    </x:row>
    <x:row r="111" ht="20" customHeight="1">
      <x:c r="A111" s="2"/>
      <x:c r="B111" s="2"/>
      <x:c r="C111" s="2" t="n">
        <x:v>106</x:v>
      </x:c>
      <x:c r="D111" s="46" t="n">
        <x:f>IF(C111+'Sources'!$I$49-1&gt;='Controls'!$F$7,1,INDEX('Sources'!$D$15:$D$134,C111+'Sources'!$I$49))</x:f>
        <x:v>1</x:v>
      </x:c>
      <x:c r="E111" s="46" t="n">
        <x:f>IF(C111+'Sources'!$I$50-1&gt;='Controls'!$F$7,1,INDEX('Sources'!$E$15:$E$134,C111+'Sources'!$I$50))</x:f>
        <x:v>1</x:v>
      </x:c>
      <x:c r="F111" s="46" t="n">
        <x:f>IF(C111+'Sources'!$I$51-1&gt;='Controls'!$F$7,1,INDEX('Sources'!$D$15:$D$134,C111+'Sources'!$I$51))</x:f>
        <x:v>1</x:v>
      </x:c>
      <x:c r="G111" s="46" t="n">
        <x:f>IF(C111+'Sources'!$I$52-1&gt;='Controls'!$F$7,1,INDEX('Sources'!$E$15:$E$134,C111+'Sources'!$I$52))</x:f>
        <x:v>1</x:v>
      </x:c>
      <x:c r="H111" s="20" t="n">
        <x:f>H110*(1-D111)^'Controls'!$F$6</x:f>
        <x:v>0</x:v>
      </x:c>
      <x:c r="I111" s="20" t="n">
        <x:f>I110*(1-E111)^'Controls'!$F$6</x:f>
        <x:v>0</x:v>
      </x:c>
      <x:c r="J111" s="20" t="n">
        <x:f>J110*(1-F111)^'Controls'!$F$6</x:f>
        <x:v>0</x:v>
      </x:c>
      <x:c r="K111" s="20" t="n">
        <x:f>K110*(1-G111)^'Controls'!$F$6</x:f>
        <x:v>0</x:v>
      </x:c>
      <x:c r="L111" s="52" t="n">
        <x:f>'Controls'!$F$5*(H111*'Sources'!$J$49+I111*'Sources'!$J$50+J111*'Sources'!$J$51+K111*'Sources'!$J$52)</x:f>
        <x:v>0</x:v>
      </x:c>
      <x:c r="M111" s="53" t="n">
        <x:f>'Curve'!M112</x:f>
        <x:v>0.058944385048959345</x:v>
      </x:c>
      <x:c r="N111" s="21" t="n">
        <x:f>L111*M111</x:f>
        <x:v>0</x:v>
      </x:c>
      <x:c r="O111" s="21" t="n">
        <x:f>C111*N111</x:f>
        <x:v>0</x:v>
      </x:c>
      <x:c r="P111" s="21" t="n">
        <x:f>C111*O111</x:f>
        <x:v>0</x:v>
      </x:c>
      <x:c r="Q111" s="21" t="n">
        <x:f>IF(C111&gt;30,N111,0)</x:f>
        <x:v>0</x:v>
      </x:c>
      <x:c r="R111" s="52" t="n">
        <x:f>O111*'Curve'!N112</x:f>
        <x:v>0</x:v>
      </x:c>
      <x:c r="S111" s="52" t="n">
        <x:f>O111*'Curve'!O112</x:f>
        <x:v>0</x:v>
      </x:c>
      <x:c r="T111" s="52" t="n">
        <x:f>O111*'Curve'!P112</x:f>
        <x:v>0</x:v>
      </x:c>
      <x:c r="U111" s="52" t="n">
        <x:f>O111*'Curve'!Q112</x:f>
        <x:v>0</x:v>
      </x:c>
      <x:c r="V111" s="52" t="n">
        <x:f>O111*'Curve'!R112</x:f>
        <x:v>0</x:v>
      </x:c>
      <x:c r="W111" s="52" t="n">
        <x:f>L111*'Curve'!J112</x:f>
        <x:v>0</x:v>
      </x:c>
    </x:row>
    <x:row r="112" ht="20" customHeight="1">
      <x:c r="A112" s="2"/>
      <x:c r="B112" s="2"/>
      <x:c r="C112" s="2" t="n">
        <x:v>107</x:v>
      </x:c>
      <x:c r="D112" s="46" t="n">
        <x:f>IF(C112+'Sources'!$I$49-1&gt;='Controls'!$F$7,1,INDEX('Sources'!$D$15:$D$134,C112+'Sources'!$I$49))</x:f>
        <x:v>1</x:v>
      </x:c>
      <x:c r="E112" s="46" t="n">
        <x:f>IF(C112+'Sources'!$I$50-1&gt;='Controls'!$F$7,1,INDEX('Sources'!$E$15:$E$134,C112+'Sources'!$I$50))</x:f>
        <x:v>1</x:v>
      </x:c>
      <x:c r="F112" s="46" t="n">
        <x:f>IF(C112+'Sources'!$I$51-1&gt;='Controls'!$F$7,1,INDEX('Sources'!$D$15:$D$134,C112+'Sources'!$I$51))</x:f>
        <x:v>1</x:v>
      </x:c>
      <x:c r="G112" s="46" t="n">
        <x:f>IF(C112+'Sources'!$I$52-1&gt;='Controls'!$F$7,1,INDEX('Sources'!$E$15:$E$134,C112+'Sources'!$I$52))</x:f>
        <x:v>1</x:v>
      </x:c>
      <x:c r="H112" s="20" t="n">
        <x:f>H111*(1-D112)^'Controls'!$F$6</x:f>
        <x:v>0</x:v>
      </x:c>
      <x:c r="I112" s="20" t="n">
        <x:f>I111*(1-E112)^'Controls'!$F$6</x:f>
        <x:v>0</x:v>
      </x:c>
      <x:c r="J112" s="20" t="n">
        <x:f>J111*(1-F112)^'Controls'!$F$6</x:f>
        <x:v>0</x:v>
      </x:c>
      <x:c r="K112" s="20" t="n">
        <x:f>K111*(1-G112)^'Controls'!$F$6</x:f>
        <x:v>0</x:v>
      </x:c>
      <x:c r="L112" s="52" t="n">
        <x:f>'Controls'!$F$5*(H112*'Sources'!$J$49+I112*'Sources'!$J$50+J112*'Sources'!$J$51+K112*'Sources'!$J$52)</x:f>
        <x:v>0</x:v>
      </x:c>
      <x:c r="M112" s="53" t="n">
        <x:f>'Curve'!M113</x:f>
        <x:v>0.05886696295231866</x:v>
      </x:c>
      <x:c r="N112" s="21" t="n">
        <x:f>L112*M112</x:f>
        <x:v>0</x:v>
      </x:c>
      <x:c r="O112" s="21" t="n">
        <x:f>C112*N112</x:f>
        <x:v>0</x:v>
      </x:c>
      <x:c r="P112" s="21" t="n">
        <x:f>C112*O112</x:f>
        <x:v>0</x:v>
      </x:c>
      <x:c r="Q112" s="21" t="n">
        <x:f>IF(C112&gt;30,N112,0)</x:f>
        <x:v>0</x:v>
      </x:c>
      <x:c r="R112" s="52" t="n">
        <x:f>O112*'Curve'!N113</x:f>
        <x:v>0</x:v>
      </x:c>
      <x:c r="S112" s="52" t="n">
        <x:f>O112*'Curve'!O113</x:f>
        <x:v>0</x:v>
      </x:c>
      <x:c r="T112" s="52" t="n">
        <x:f>O112*'Curve'!P113</x:f>
        <x:v>0</x:v>
      </x:c>
      <x:c r="U112" s="52" t="n">
        <x:f>O112*'Curve'!Q113</x:f>
        <x:v>0</x:v>
      </x:c>
      <x:c r="V112" s="52" t="n">
        <x:f>O112*'Curve'!R113</x:f>
        <x:v>0</x:v>
      </x:c>
      <x:c r="W112" s="52" t="n">
        <x:f>L112*'Curve'!J113</x:f>
        <x:v>0</x:v>
      </x:c>
    </x:row>
    <x:row r="113" ht="20" customHeight="1">
      <x:c r="A113" s="2"/>
      <x:c r="B113" s="2"/>
      <x:c r="C113" s="2" t="n">
        <x:v>108</x:v>
      </x:c>
      <x:c r="D113" s="46" t="n">
        <x:f>IF(C113+'Sources'!$I$49-1&gt;='Controls'!$F$7,1,INDEX('Sources'!$D$15:$D$134,C113+'Sources'!$I$49))</x:f>
        <x:v>1</x:v>
      </x:c>
      <x:c r="E113" s="46" t="n">
        <x:f>IF(C113+'Sources'!$I$50-1&gt;='Controls'!$F$7,1,INDEX('Sources'!$E$15:$E$134,C113+'Sources'!$I$50))</x:f>
        <x:v>1</x:v>
      </x:c>
      <x:c r="F113" s="46" t="n">
        <x:f>IF(C113+'Sources'!$I$51-1&gt;='Controls'!$F$7,1,INDEX('Sources'!$D$15:$D$134,C113+'Sources'!$I$51))</x:f>
        <x:v>1</x:v>
      </x:c>
      <x:c r="G113" s="46" t="n">
        <x:f>IF(C113+'Sources'!$I$52-1&gt;='Controls'!$F$7,1,INDEX('Sources'!$E$15:$E$134,C113+'Sources'!$I$52))</x:f>
        <x:v>1</x:v>
      </x:c>
      <x:c r="H113" s="20" t="n">
        <x:f>H112*(1-D113)^'Controls'!$F$6</x:f>
        <x:v>0</x:v>
      </x:c>
      <x:c r="I113" s="20" t="n">
        <x:f>I112*(1-E113)^'Controls'!$F$6</x:f>
        <x:v>0</x:v>
      </x:c>
      <x:c r="J113" s="20" t="n">
        <x:f>J112*(1-F113)^'Controls'!$F$6</x:f>
        <x:v>0</x:v>
      </x:c>
      <x:c r="K113" s="20" t="n">
        <x:f>K112*(1-G113)^'Controls'!$F$6</x:f>
        <x:v>0</x:v>
      </x:c>
      <x:c r="L113" s="52" t="n">
        <x:f>'Controls'!$F$5*(H113*'Sources'!$J$49+I113*'Sources'!$J$50+J113*'Sources'!$J$51+K113*'Sources'!$J$52)</x:f>
        <x:v>0</x:v>
      </x:c>
      <x:c r="M113" s="53" t="n">
        <x:f>'Curve'!M114</x:f>
        <x:v>0.05879372931001063</x:v>
      </x:c>
      <x:c r="N113" s="21" t="n">
        <x:f>L113*M113</x:f>
        <x:v>0</x:v>
      </x:c>
      <x:c r="O113" s="21" t="n">
        <x:f>C113*N113</x:f>
        <x:v>0</x:v>
      </x:c>
      <x:c r="P113" s="21" t="n">
        <x:f>C113*O113</x:f>
        <x:v>0</x:v>
      </x:c>
      <x:c r="Q113" s="21" t="n">
        <x:f>IF(C113&gt;30,N113,0)</x:f>
        <x:v>0</x:v>
      </x:c>
      <x:c r="R113" s="52" t="n">
        <x:f>O113*'Curve'!N114</x:f>
        <x:v>0</x:v>
      </x:c>
      <x:c r="S113" s="52" t="n">
        <x:f>O113*'Curve'!O114</x:f>
        <x:v>0</x:v>
      </x:c>
      <x:c r="T113" s="52" t="n">
        <x:f>O113*'Curve'!P114</x:f>
        <x:v>0</x:v>
      </x:c>
      <x:c r="U113" s="52" t="n">
        <x:f>O113*'Curve'!Q114</x:f>
        <x:v>0</x:v>
      </x:c>
      <x:c r="V113" s="52" t="n">
        <x:f>O113*'Curve'!R114</x:f>
        <x:v>0</x:v>
      </x:c>
      <x:c r="W113" s="52" t="n">
        <x:f>L113*'Curve'!J114</x:f>
        <x:v>0</x:v>
      </x:c>
    </x:row>
    <x:row r="114" ht="20" customHeight="1">
      <x:c r="A114" s="2"/>
      <x:c r="B114" s="2"/>
      <x:c r="C114" s="2" t="n">
        <x:v>109</x:v>
      </x:c>
      <x:c r="D114" s="46" t="n">
        <x:f>IF(C114+'Sources'!$I$49-1&gt;='Controls'!$F$7,1,INDEX('Sources'!$D$15:$D$134,C114+'Sources'!$I$49))</x:f>
        <x:v>1</x:v>
      </x:c>
      <x:c r="E114" s="46" t="n">
        <x:f>IF(C114+'Sources'!$I$50-1&gt;='Controls'!$F$7,1,INDEX('Sources'!$E$15:$E$134,C114+'Sources'!$I$50))</x:f>
        <x:v>1</x:v>
      </x:c>
      <x:c r="F114" s="46" t="n">
        <x:f>IF(C114+'Sources'!$I$51-1&gt;='Controls'!$F$7,1,INDEX('Sources'!$D$15:$D$134,C114+'Sources'!$I$51))</x:f>
        <x:v>1</x:v>
      </x:c>
      <x:c r="G114" s="46" t="n">
        <x:f>IF(C114+'Sources'!$I$52-1&gt;='Controls'!$F$7,1,INDEX('Sources'!$E$15:$E$134,C114+'Sources'!$I$52))</x:f>
        <x:v>1</x:v>
      </x:c>
      <x:c r="H114" s="20" t="n">
        <x:f>H113*(1-D114)^'Controls'!$F$6</x:f>
        <x:v>0</x:v>
      </x:c>
      <x:c r="I114" s="20" t="n">
        <x:f>I113*(1-E114)^'Controls'!$F$6</x:f>
        <x:v>0</x:v>
      </x:c>
      <x:c r="J114" s="20" t="n">
        <x:f>J113*(1-F114)^'Controls'!$F$6</x:f>
        <x:v>0</x:v>
      </x:c>
      <x:c r="K114" s="20" t="n">
        <x:f>K113*(1-G114)^'Controls'!$F$6</x:f>
        <x:v>0</x:v>
      </x:c>
      <x:c r="L114" s="52" t="n">
        <x:f>'Controls'!$F$5*(H114*'Sources'!$J$49+I114*'Sources'!$J$50+J114*'Sources'!$J$51+K114*'Sources'!$J$52)</x:f>
        <x:v>0</x:v>
      </x:c>
      <x:c r="M114" s="53" t="n">
        <x:f>'Curve'!M115</x:f>
        <x:v>0.058724458834682525</x:v>
      </x:c>
      <x:c r="N114" s="21" t="n">
        <x:f>L114*M114</x:f>
        <x:v>0</x:v>
      </x:c>
      <x:c r="O114" s="21" t="n">
        <x:f>C114*N114</x:f>
        <x:v>0</x:v>
      </x:c>
      <x:c r="P114" s="21" t="n">
        <x:f>C114*O114</x:f>
        <x:v>0</x:v>
      </x:c>
      <x:c r="Q114" s="21" t="n">
        <x:f>IF(C114&gt;30,N114,0)</x:f>
        <x:v>0</x:v>
      </x:c>
      <x:c r="R114" s="52" t="n">
        <x:f>O114*'Curve'!N115</x:f>
        <x:v>0</x:v>
      </x:c>
      <x:c r="S114" s="52" t="n">
        <x:f>O114*'Curve'!O115</x:f>
        <x:v>0</x:v>
      </x:c>
      <x:c r="T114" s="52" t="n">
        <x:f>O114*'Curve'!P115</x:f>
        <x:v>0</x:v>
      </x:c>
      <x:c r="U114" s="52" t="n">
        <x:f>O114*'Curve'!Q115</x:f>
        <x:v>0</x:v>
      </x:c>
      <x:c r="V114" s="52" t="n">
        <x:f>O114*'Curve'!R115</x:f>
        <x:v>0</x:v>
      </x:c>
      <x:c r="W114" s="52" t="n">
        <x:f>L114*'Curve'!J115</x:f>
        <x:v>0</x:v>
      </x:c>
    </x:row>
    <x:row r="115" ht="20" customHeight="1">
      <x:c r="A115" s="2"/>
      <x:c r="B115" s="2"/>
      <x:c r="C115" s="2" t="n">
        <x:v>110</x:v>
      </x:c>
      <x:c r="D115" s="46" t="n">
        <x:f>IF(C115+'Sources'!$I$49-1&gt;='Controls'!$F$7,1,INDEX('Sources'!$D$15:$D$134,C115+'Sources'!$I$49))</x:f>
        <x:v>1</x:v>
      </x:c>
      <x:c r="E115" s="46" t="n">
        <x:f>IF(C115+'Sources'!$I$50-1&gt;='Controls'!$F$7,1,INDEX('Sources'!$E$15:$E$134,C115+'Sources'!$I$50))</x:f>
        <x:v>1</x:v>
      </x:c>
      <x:c r="F115" s="46" t="n">
        <x:f>IF(C115+'Sources'!$I$51-1&gt;='Controls'!$F$7,1,INDEX('Sources'!$D$15:$D$134,C115+'Sources'!$I$51))</x:f>
        <x:v>1</x:v>
      </x:c>
      <x:c r="G115" s="46" t="n">
        <x:f>IF(C115+'Sources'!$I$52-1&gt;='Controls'!$F$7,1,INDEX('Sources'!$E$15:$E$134,C115+'Sources'!$I$52))</x:f>
        <x:v>1</x:v>
      </x:c>
      <x:c r="H115" s="20" t="n">
        <x:f>H114*(1-D115)^'Controls'!$F$6</x:f>
        <x:v>0</x:v>
      </x:c>
      <x:c r="I115" s="20" t="n">
        <x:f>I114*(1-E115)^'Controls'!$F$6</x:f>
        <x:v>0</x:v>
      </x:c>
      <x:c r="J115" s="20" t="n">
        <x:f>J114*(1-F115)^'Controls'!$F$6</x:f>
        <x:v>0</x:v>
      </x:c>
      <x:c r="K115" s="20" t="n">
        <x:f>K114*(1-G115)^'Controls'!$F$6</x:f>
        <x:v>0</x:v>
      </x:c>
      <x:c r="L115" s="52" t="n">
        <x:f>'Controls'!$F$5*(H115*'Sources'!$J$49+I115*'Sources'!$J$50+J115*'Sources'!$J$51+K115*'Sources'!$J$52)</x:f>
        <x:v>0</x:v>
      </x:c>
      <x:c r="M115" s="53" t="n">
        <x:f>'Curve'!M116</x:f>
        <x:v>0.05865893841003421</x:v>
      </x:c>
      <x:c r="N115" s="21" t="n">
        <x:f>L115*M115</x:f>
        <x:v>0</x:v>
      </x:c>
      <x:c r="O115" s="21" t="n">
        <x:f>C115*N115</x:f>
        <x:v>0</x:v>
      </x:c>
      <x:c r="P115" s="21" t="n">
        <x:f>C115*O115</x:f>
        <x:v>0</x:v>
      </x:c>
      <x:c r="Q115" s="21" t="n">
        <x:f>IF(C115&gt;30,N115,0)</x:f>
        <x:v>0</x:v>
      </x:c>
      <x:c r="R115" s="52" t="n">
        <x:f>O115*'Curve'!N116</x:f>
        <x:v>0</x:v>
      </x:c>
      <x:c r="S115" s="52" t="n">
        <x:f>O115*'Curve'!O116</x:f>
        <x:v>0</x:v>
      </x:c>
      <x:c r="T115" s="52" t="n">
        <x:f>O115*'Curve'!P116</x:f>
        <x:v>0</x:v>
      </x:c>
      <x:c r="U115" s="52" t="n">
        <x:f>O115*'Curve'!Q116</x:f>
        <x:v>0</x:v>
      </x:c>
      <x:c r="V115" s="52" t="n">
        <x:f>O115*'Curve'!R116</x:f>
        <x:v>0</x:v>
      </x:c>
      <x:c r="W115" s="52" t="n">
        <x:f>L115*'Curve'!J116</x:f>
        <x:v>0</x:v>
      </x:c>
    </x:row>
    <x:row r="116" ht="20" customHeight="1">
      <x:c r="A116" s="2"/>
      <x:c r="B116" s="2"/>
      <x:c r="C116" s="2" t="n">
        <x:v>111</x:v>
      </x:c>
      <x:c r="D116" s="46" t="n">
        <x:f>IF(C116+'Sources'!$I$49-1&gt;='Controls'!$F$7,1,INDEX('Sources'!$D$15:$D$134,C116+'Sources'!$I$49))</x:f>
        <x:v>1</x:v>
      </x:c>
      <x:c r="E116" s="46" t="n">
        <x:f>IF(C116+'Sources'!$I$50-1&gt;='Controls'!$F$7,1,INDEX('Sources'!$E$15:$E$134,C116+'Sources'!$I$50))</x:f>
        <x:v>1</x:v>
      </x:c>
      <x:c r="F116" s="46" t="n">
        <x:f>IF(C116+'Sources'!$I$51-1&gt;='Controls'!$F$7,1,INDEX('Sources'!$D$15:$D$134,C116+'Sources'!$I$51))</x:f>
        <x:v>1</x:v>
      </x:c>
      <x:c r="G116" s="46" t="n">
        <x:f>IF(C116+'Sources'!$I$52-1&gt;='Controls'!$F$7,1,INDEX('Sources'!$E$15:$E$134,C116+'Sources'!$I$52))</x:f>
        <x:v>1</x:v>
      </x:c>
      <x:c r="H116" s="20" t="n">
        <x:f>H115*(1-D116)^'Controls'!$F$6</x:f>
        <x:v>0</x:v>
      </x:c>
      <x:c r="I116" s="20" t="n">
        <x:f>I115*(1-E116)^'Controls'!$F$6</x:f>
        <x:v>0</x:v>
      </x:c>
      <x:c r="J116" s="20" t="n">
        <x:f>J115*(1-F116)^'Controls'!$F$6</x:f>
        <x:v>0</x:v>
      </x:c>
      <x:c r="K116" s="20" t="n">
        <x:f>K115*(1-G116)^'Controls'!$F$6</x:f>
        <x:v>0</x:v>
      </x:c>
      <x:c r="L116" s="52" t="n">
        <x:f>'Controls'!$F$5*(H116*'Sources'!$J$49+I116*'Sources'!$J$50+J116*'Sources'!$J$51+K116*'Sources'!$J$52)</x:f>
        <x:v>0</x:v>
      </x:c>
      <x:c r="M116" s="53" t="n">
        <x:f>'Curve'!M117</x:f>
        <x:v>0.0585969664155589</x:v>
      </x:c>
      <x:c r="N116" s="21" t="n">
        <x:f>L116*M116</x:f>
        <x:v>0</x:v>
      </x:c>
      <x:c r="O116" s="21" t="n">
        <x:f>C116*N116</x:f>
        <x:v>0</x:v>
      </x:c>
      <x:c r="P116" s="21" t="n">
        <x:f>C116*O116</x:f>
        <x:v>0</x:v>
      </x:c>
      <x:c r="Q116" s="21" t="n">
        <x:f>IF(C116&gt;30,N116,0)</x:f>
        <x:v>0</x:v>
      </x:c>
      <x:c r="R116" s="52" t="n">
        <x:f>O116*'Curve'!N117</x:f>
        <x:v>0</x:v>
      </x:c>
      <x:c r="S116" s="52" t="n">
        <x:f>O116*'Curve'!O117</x:f>
        <x:v>0</x:v>
      </x:c>
      <x:c r="T116" s="52" t="n">
        <x:f>O116*'Curve'!P117</x:f>
        <x:v>0</x:v>
      </x:c>
      <x:c r="U116" s="52" t="n">
        <x:f>O116*'Curve'!Q117</x:f>
        <x:v>0</x:v>
      </x:c>
      <x:c r="V116" s="52" t="n">
        <x:f>O116*'Curve'!R117</x:f>
        <x:v>0</x:v>
      </x:c>
      <x:c r="W116" s="52" t="n">
        <x:f>L116*'Curve'!J117</x:f>
        <x:v>0</x:v>
      </x:c>
    </x:row>
    <x:row r="117" ht="20" customHeight="1">
      <x:c r="A117" s="2"/>
      <x:c r="B117" s="2"/>
      <x:c r="C117" s="2" t="n">
        <x:v>112</x:v>
      </x:c>
      <x:c r="D117" s="46" t="n">
        <x:f>IF(C117+'Sources'!$I$49-1&gt;='Controls'!$F$7,1,INDEX('Sources'!$D$15:$D$134,C117+'Sources'!$I$49))</x:f>
        <x:v>1</x:v>
      </x:c>
      <x:c r="E117" s="46" t="n">
        <x:f>IF(C117+'Sources'!$I$50-1&gt;='Controls'!$F$7,1,INDEX('Sources'!$E$15:$E$134,C117+'Sources'!$I$50))</x:f>
        <x:v>1</x:v>
      </x:c>
      <x:c r="F117" s="46" t="n">
        <x:f>IF(C117+'Sources'!$I$51-1&gt;='Controls'!$F$7,1,INDEX('Sources'!$D$15:$D$134,C117+'Sources'!$I$51))</x:f>
        <x:v>1</x:v>
      </x:c>
      <x:c r="G117" s="46" t="n">
        <x:f>IF(C117+'Sources'!$I$52-1&gt;='Controls'!$F$7,1,INDEX('Sources'!$E$15:$E$134,C117+'Sources'!$I$52))</x:f>
        <x:v>1</x:v>
      </x:c>
      <x:c r="H117" s="20" t="n">
        <x:f>H116*(1-D117)^'Controls'!$F$6</x:f>
        <x:v>0</x:v>
      </x:c>
      <x:c r="I117" s="20" t="n">
        <x:f>I116*(1-E117)^'Controls'!$F$6</x:f>
        <x:v>0</x:v>
      </x:c>
      <x:c r="J117" s="20" t="n">
        <x:f>J116*(1-F117)^'Controls'!$F$6</x:f>
        <x:v>0</x:v>
      </x:c>
      <x:c r="K117" s="20" t="n">
        <x:f>K116*(1-G117)^'Controls'!$F$6</x:f>
        <x:v>0</x:v>
      </x:c>
      <x:c r="L117" s="52" t="n">
        <x:f>'Controls'!$F$5*(H117*'Sources'!$J$49+I117*'Sources'!$J$50+J117*'Sources'!$J$51+K117*'Sources'!$J$52)</x:f>
        <x:v>0</x:v>
      </x:c>
      <x:c r="M117" s="53" t="n">
        <x:f>'Curve'!M118</x:f>
        <x:v>0.05853835209127899</x:v>
      </x:c>
      <x:c r="N117" s="21" t="n">
        <x:f>L117*M117</x:f>
        <x:v>0</x:v>
      </x:c>
      <x:c r="O117" s="21" t="n">
        <x:f>C117*N117</x:f>
        <x:v>0</x:v>
      </x:c>
      <x:c r="P117" s="21" t="n">
        <x:f>C117*O117</x:f>
        <x:v>0</x:v>
      </x:c>
      <x:c r="Q117" s="21" t="n">
        <x:f>IF(C117&gt;30,N117,0)</x:f>
        <x:v>0</x:v>
      </x:c>
      <x:c r="R117" s="52" t="n">
        <x:f>O117*'Curve'!N118</x:f>
        <x:v>0</x:v>
      </x:c>
      <x:c r="S117" s="52" t="n">
        <x:f>O117*'Curve'!O118</x:f>
        <x:v>0</x:v>
      </x:c>
      <x:c r="T117" s="52" t="n">
        <x:f>O117*'Curve'!P118</x:f>
        <x:v>0</x:v>
      </x:c>
      <x:c r="U117" s="52" t="n">
        <x:f>O117*'Curve'!Q118</x:f>
        <x:v>0</x:v>
      </x:c>
      <x:c r="V117" s="52" t="n">
        <x:f>O117*'Curve'!R118</x:f>
        <x:v>0</x:v>
      </x:c>
      <x:c r="W117" s="52" t="n">
        <x:f>L117*'Curve'!J118</x:f>
        <x:v>0</x:v>
      </x:c>
    </x:row>
    <x:row r="118" ht="20" customHeight="1">
      <x:c r="A118" s="2"/>
      <x:c r="B118" s="2"/>
      <x:c r="C118" s="2" t="n">
        <x:v>113</x:v>
      </x:c>
      <x:c r="D118" s="46" t="n">
        <x:f>IF(C118+'Sources'!$I$49-1&gt;='Controls'!$F$7,1,INDEX('Sources'!$D$15:$D$134,C118+'Sources'!$I$49))</x:f>
        <x:v>1</x:v>
      </x:c>
      <x:c r="E118" s="46" t="n">
        <x:f>IF(C118+'Sources'!$I$50-1&gt;='Controls'!$F$7,1,INDEX('Sources'!$E$15:$E$134,C118+'Sources'!$I$50))</x:f>
        <x:v>1</x:v>
      </x:c>
      <x:c r="F118" s="46" t="n">
        <x:f>IF(C118+'Sources'!$I$51-1&gt;='Controls'!$F$7,1,INDEX('Sources'!$D$15:$D$134,C118+'Sources'!$I$51))</x:f>
        <x:v>1</x:v>
      </x:c>
      <x:c r="G118" s="46" t="n">
        <x:f>IF(C118+'Sources'!$I$52-1&gt;='Controls'!$F$7,1,INDEX('Sources'!$E$15:$E$134,C118+'Sources'!$I$52))</x:f>
        <x:v>1</x:v>
      </x:c>
      <x:c r="H118" s="20" t="n">
        <x:f>H117*(1-D118)^'Controls'!$F$6</x:f>
        <x:v>0</x:v>
      </x:c>
      <x:c r="I118" s="20" t="n">
        <x:f>I117*(1-E118)^'Controls'!$F$6</x:f>
        <x:v>0</x:v>
      </x:c>
      <x:c r="J118" s="20" t="n">
        <x:f>J117*(1-F118)^'Controls'!$F$6</x:f>
        <x:v>0</x:v>
      </x:c>
      <x:c r="K118" s="20" t="n">
        <x:f>K117*(1-G118)^'Controls'!$F$6</x:f>
        <x:v>0</x:v>
      </x:c>
      <x:c r="L118" s="52" t="n">
        <x:f>'Controls'!$F$5*(H118*'Sources'!$J$49+I118*'Sources'!$J$50+J118*'Sources'!$J$51+K118*'Sources'!$J$52)</x:f>
        <x:v>0</x:v>
      </x:c>
      <x:c r="M118" s="53" t="n">
        <x:f>'Curve'!M119</x:f>
        <x:v>0.05848291493982604</x:v>
      </x:c>
      <x:c r="N118" s="21" t="n">
        <x:f>L118*M118</x:f>
        <x:v>0</x:v>
      </x:c>
      <x:c r="O118" s="21" t="n">
        <x:f>C118*N118</x:f>
        <x:v>0</x:v>
      </x:c>
      <x:c r="P118" s="21" t="n">
        <x:f>C118*O118</x:f>
        <x:v>0</x:v>
      </x:c>
      <x:c r="Q118" s="21" t="n">
        <x:f>IF(C118&gt;30,N118,0)</x:f>
        <x:v>0</x:v>
      </x:c>
      <x:c r="R118" s="52" t="n">
        <x:f>O118*'Curve'!N119</x:f>
        <x:v>0</x:v>
      </x:c>
      <x:c r="S118" s="52" t="n">
        <x:f>O118*'Curve'!O119</x:f>
        <x:v>0</x:v>
      </x:c>
      <x:c r="T118" s="52" t="n">
        <x:f>O118*'Curve'!P119</x:f>
        <x:v>0</x:v>
      </x:c>
      <x:c r="U118" s="52" t="n">
        <x:f>O118*'Curve'!Q119</x:f>
        <x:v>0</x:v>
      </x:c>
      <x:c r="V118" s="52" t="n">
        <x:f>O118*'Curve'!R119</x:f>
        <x:v>0</x:v>
      </x:c>
      <x:c r="W118" s="52" t="n">
        <x:f>L118*'Curve'!J119</x:f>
        <x:v>0</x:v>
      </x:c>
    </x:row>
    <x:row r="119" ht="20" customHeight="1">
      <x:c r="A119" s="2"/>
      <x:c r="B119" s="2"/>
      <x:c r="C119" s="2" t="n">
        <x:v>114</x:v>
      </x:c>
      <x:c r="D119" s="46" t="n">
        <x:f>IF(C119+'Sources'!$I$49-1&gt;='Controls'!$F$7,1,INDEX('Sources'!$D$15:$D$134,C119+'Sources'!$I$49))</x:f>
        <x:v>1</x:v>
      </x:c>
      <x:c r="E119" s="46" t="n">
        <x:f>IF(C119+'Sources'!$I$50-1&gt;='Controls'!$F$7,1,INDEX('Sources'!$E$15:$E$134,C119+'Sources'!$I$50))</x:f>
        <x:v>1</x:v>
      </x:c>
      <x:c r="F119" s="46" t="n">
        <x:f>IF(C119+'Sources'!$I$51-1&gt;='Controls'!$F$7,1,INDEX('Sources'!$D$15:$D$134,C119+'Sources'!$I$51))</x:f>
        <x:v>1</x:v>
      </x:c>
      <x:c r="G119" s="46" t="n">
        <x:f>IF(C119+'Sources'!$I$52-1&gt;='Controls'!$F$7,1,INDEX('Sources'!$E$15:$E$134,C119+'Sources'!$I$52))</x:f>
        <x:v>1</x:v>
      </x:c>
      <x:c r="H119" s="20" t="n">
        <x:f>H118*(1-D119)^'Controls'!$F$6</x:f>
        <x:v>0</x:v>
      </x:c>
      <x:c r="I119" s="20" t="n">
        <x:f>I118*(1-E119)^'Controls'!$F$6</x:f>
        <x:v>0</x:v>
      </x:c>
      <x:c r="J119" s="20" t="n">
        <x:f>J118*(1-F119)^'Controls'!$F$6</x:f>
        <x:v>0</x:v>
      </x:c>
      <x:c r="K119" s="20" t="n">
        <x:f>K118*(1-G119)^'Controls'!$F$6</x:f>
        <x:v>0</x:v>
      </x:c>
      <x:c r="L119" s="52" t="n">
        <x:f>'Controls'!$F$5*(H119*'Sources'!$J$49+I119*'Sources'!$J$50+J119*'Sources'!$J$51+K119*'Sources'!$J$52)</x:f>
        <x:v>0</x:v>
      </x:c>
      <x:c r="M119" s="53" t="n">
        <x:f>'Curve'!M120</x:f>
        <x:v>0.05843048416341377</x:v>
      </x:c>
      <x:c r="N119" s="21" t="n">
        <x:f>L119*M119</x:f>
        <x:v>0</x:v>
      </x:c>
      <x:c r="O119" s="21" t="n">
        <x:f>C119*N119</x:f>
        <x:v>0</x:v>
      </x:c>
      <x:c r="P119" s="21" t="n">
        <x:f>C119*O119</x:f>
        <x:v>0</x:v>
      </x:c>
      <x:c r="Q119" s="21" t="n">
        <x:f>IF(C119&gt;30,N119,0)</x:f>
        <x:v>0</x:v>
      </x:c>
      <x:c r="R119" s="52" t="n">
        <x:f>O119*'Curve'!N120</x:f>
        <x:v>0</x:v>
      </x:c>
      <x:c r="S119" s="52" t="n">
        <x:f>O119*'Curve'!O120</x:f>
        <x:v>0</x:v>
      </x:c>
      <x:c r="T119" s="52" t="n">
        <x:f>O119*'Curve'!P120</x:f>
        <x:v>0</x:v>
      </x:c>
      <x:c r="U119" s="52" t="n">
        <x:f>O119*'Curve'!Q120</x:f>
        <x:v>0</x:v>
      </x:c>
      <x:c r="V119" s="52" t="n">
        <x:f>O119*'Curve'!R120</x:f>
        <x:v>0</x:v>
      </x:c>
      <x:c r="W119" s="52" t="n">
        <x:f>L119*'Curve'!J120</x:f>
        <x:v>0</x:v>
      </x:c>
    </x:row>
    <x:row r="120" ht="20" customHeight="1">
      <x:c r="A120" s="2"/>
      <x:c r="B120" s="2"/>
      <x:c r="C120" s="2" t="n">
        <x:v>115</x:v>
      </x:c>
      <x:c r="D120" s="46" t="n">
        <x:f>IF(C120+'Sources'!$I$49-1&gt;='Controls'!$F$7,1,INDEX('Sources'!$D$15:$D$134,C120+'Sources'!$I$49))</x:f>
        <x:v>1</x:v>
      </x:c>
      <x:c r="E120" s="46" t="n">
        <x:f>IF(C120+'Sources'!$I$50-1&gt;='Controls'!$F$7,1,INDEX('Sources'!$E$15:$E$134,C120+'Sources'!$I$50))</x:f>
        <x:v>1</x:v>
      </x:c>
      <x:c r="F120" s="46" t="n">
        <x:f>IF(C120+'Sources'!$I$51-1&gt;='Controls'!$F$7,1,INDEX('Sources'!$D$15:$D$134,C120+'Sources'!$I$51))</x:f>
        <x:v>1</x:v>
      </x:c>
      <x:c r="G120" s="46" t="n">
        <x:f>IF(C120+'Sources'!$I$52-1&gt;='Controls'!$F$7,1,INDEX('Sources'!$E$15:$E$134,C120+'Sources'!$I$52))</x:f>
        <x:v>1</x:v>
      </x:c>
      <x:c r="H120" s="20" t="n">
        <x:f>H119*(1-D120)^'Controls'!$F$6</x:f>
        <x:v>0</x:v>
      </x:c>
      <x:c r="I120" s="20" t="n">
        <x:f>I119*(1-E120)^'Controls'!$F$6</x:f>
        <x:v>0</x:v>
      </x:c>
      <x:c r="J120" s="20" t="n">
        <x:f>J119*(1-F120)^'Controls'!$F$6</x:f>
        <x:v>0</x:v>
      </x:c>
      <x:c r="K120" s="20" t="n">
        <x:f>K119*(1-G120)^'Controls'!$F$6</x:f>
        <x:v>0</x:v>
      </x:c>
      <x:c r="L120" s="52" t="n">
        <x:f>'Controls'!$F$5*(H120*'Sources'!$J$49+I120*'Sources'!$J$50+J120*'Sources'!$J$51+K120*'Sources'!$J$52)</x:f>
        <x:v>0</x:v>
      </x:c>
      <x:c r="M120" s="53" t="n">
        <x:f>'Curve'!M121</x:f>
        <x:v>0.05838089813344094</x:v>
      </x:c>
      <x:c r="N120" s="21" t="n">
        <x:f>L120*M120</x:f>
        <x:v>0</x:v>
      </x:c>
      <x:c r="O120" s="21" t="n">
        <x:f>C120*N120</x:f>
        <x:v>0</x:v>
      </x:c>
      <x:c r="P120" s="21" t="n">
        <x:f>C120*O120</x:f>
        <x:v>0</x:v>
      </x:c>
      <x:c r="Q120" s="21" t="n">
        <x:f>IF(C120&gt;30,N120,0)</x:f>
        <x:v>0</x:v>
      </x:c>
      <x:c r="R120" s="52" t="n">
        <x:f>O120*'Curve'!N121</x:f>
        <x:v>0</x:v>
      </x:c>
      <x:c r="S120" s="52" t="n">
        <x:f>O120*'Curve'!O121</x:f>
        <x:v>0</x:v>
      </x:c>
      <x:c r="T120" s="52" t="n">
        <x:f>O120*'Curve'!P121</x:f>
        <x:v>0</x:v>
      </x:c>
      <x:c r="U120" s="52" t="n">
        <x:f>O120*'Curve'!Q121</x:f>
        <x:v>0</x:v>
      </x:c>
      <x:c r="V120" s="52" t="n">
        <x:f>O120*'Curve'!R121</x:f>
        <x:v>0</x:v>
      </x:c>
      <x:c r="W120" s="52" t="n">
        <x:f>L120*'Curve'!J121</x:f>
        <x:v>0</x:v>
      </x:c>
    </x:row>
    <x:row r="121" ht="20" customHeight="1">
      <x:c r="A121" s="2"/>
      <x:c r="B121" s="2"/>
      <x:c r="C121" s="2" t="n">
        <x:v>116</x:v>
      </x:c>
      <x:c r="D121" s="46" t="n">
        <x:f>IF(C121+'Sources'!$I$49-1&gt;='Controls'!$F$7,1,INDEX('Sources'!$D$15:$D$134,C121+'Sources'!$I$49))</x:f>
        <x:v>1</x:v>
      </x:c>
      <x:c r="E121" s="46" t="n">
        <x:f>IF(C121+'Sources'!$I$50-1&gt;='Controls'!$F$7,1,INDEX('Sources'!$E$15:$E$134,C121+'Sources'!$I$50))</x:f>
        <x:v>1</x:v>
      </x:c>
      <x:c r="F121" s="46" t="n">
        <x:f>IF(C121+'Sources'!$I$51-1&gt;='Controls'!$F$7,1,INDEX('Sources'!$D$15:$D$134,C121+'Sources'!$I$51))</x:f>
        <x:v>1</x:v>
      </x:c>
      <x:c r="G121" s="46" t="n">
        <x:f>IF(C121+'Sources'!$I$52-1&gt;='Controls'!$F$7,1,INDEX('Sources'!$E$15:$E$134,C121+'Sources'!$I$52))</x:f>
        <x:v>1</x:v>
      </x:c>
      <x:c r="H121" s="20" t="n">
        <x:f>H120*(1-D121)^'Controls'!$F$6</x:f>
        <x:v>0</x:v>
      </x:c>
      <x:c r="I121" s="20" t="n">
        <x:f>I120*(1-E121)^'Controls'!$F$6</x:f>
        <x:v>0</x:v>
      </x:c>
      <x:c r="J121" s="20" t="n">
        <x:f>J120*(1-F121)^'Controls'!$F$6</x:f>
        <x:v>0</x:v>
      </x:c>
      <x:c r="K121" s="20" t="n">
        <x:f>K120*(1-G121)^'Controls'!$F$6</x:f>
        <x:v>0</x:v>
      </x:c>
      <x:c r="L121" s="52" t="n">
        <x:f>'Controls'!$F$5*(H121*'Sources'!$J$49+I121*'Sources'!$J$50+J121*'Sources'!$J$51+K121*'Sources'!$J$52)</x:f>
        <x:v>0</x:v>
      </x:c>
      <x:c r="M121" s="53" t="n">
        <x:f>'Curve'!M122</x:f>
        <x:v>0.05833400389062618</x:v>
      </x:c>
      <x:c r="N121" s="21" t="n">
        <x:f>L121*M121</x:f>
        <x:v>0</x:v>
      </x:c>
      <x:c r="O121" s="21" t="n">
        <x:f>C121*N121</x:f>
        <x:v>0</x:v>
      </x:c>
      <x:c r="P121" s="21" t="n">
        <x:f>C121*O121</x:f>
        <x:v>0</x:v>
      </x:c>
      <x:c r="Q121" s="21" t="n">
        <x:f>IF(C121&gt;30,N121,0)</x:f>
        <x:v>0</x:v>
      </x:c>
      <x:c r="R121" s="52" t="n">
        <x:f>O121*'Curve'!N122</x:f>
        <x:v>0</x:v>
      </x:c>
      <x:c r="S121" s="52" t="n">
        <x:f>O121*'Curve'!O122</x:f>
        <x:v>0</x:v>
      </x:c>
      <x:c r="T121" s="52" t="n">
        <x:f>O121*'Curve'!P122</x:f>
        <x:v>0</x:v>
      </x:c>
      <x:c r="U121" s="52" t="n">
        <x:f>O121*'Curve'!Q122</x:f>
        <x:v>0</x:v>
      </x:c>
      <x:c r="V121" s="52" t="n">
        <x:f>O121*'Curve'!R122</x:f>
        <x:v>0</x:v>
      </x:c>
      <x:c r="W121" s="52" t="n">
        <x:f>L121*'Curve'!J122</x:f>
        <x:v>0</x:v>
      </x:c>
    </x:row>
    <x:row r="122" ht="20" customHeight="1">
      <x:c r="A122" s="2"/>
      <x:c r="B122" s="2"/>
      <x:c r="C122" s="2" t="n">
        <x:v>117</x:v>
      </x:c>
      <x:c r="D122" s="46" t="n">
        <x:f>IF(C122+'Sources'!$I$49-1&gt;='Controls'!$F$7,1,INDEX('Sources'!$D$15:$D$134,C122+'Sources'!$I$49))</x:f>
        <x:v>1</x:v>
      </x:c>
      <x:c r="E122" s="46" t="n">
        <x:f>IF(C122+'Sources'!$I$50-1&gt;='Controls'!$F$7,1,INDEX('Sources'!$E$15:$E$134,C122+'Sources'!$I$50))</x:f>
        <x:v>1</x:v>
      </x:c>
      <x:c r="F122" s="46" t="n">
        <x:f>IF(C122+'Sources'!$I$51-1&gt;='Controls'!$F$7,1,INDEX('Sources'!$D$15:$D$134,C122+'Sources'!$I$51))</x:f>
        <x:v>1</x:v>
      </x:c>
      <x:c r="G122" s="46" t="n">
        <x:f>IF(C122+'Sources'!$I$52-1&gt;='Controls'!$F$7,1,INDEX('Sources'!$E$15:$E$134,C122+'Sources'!$I$52))</x:f>
        <x:v>1</x:v>
      </x:c>
      <x:c r="H122" s="20" t="n">
        <x:f>H121*(1-D122)^'Controls'!$F$6</x:f>
        <x:v>0</x:v>
      </x:c>
      <x:c r="I122" s="20" t="n">
        <x:f>I121*(1-E122)^'Controls'!$F$6</x:f>
        <x:v>0</x:v>
      </x:c>
      <x:c r="J122" s="20" t="n">
        <x:f>J121*(1-F122)^'Controls'!$F$6</x:f>
        <x:v>0</x:v>
      </x:c>
      <x:c r="K122" s="20" t="n">
        <x:f>K121*(1-G122)^'Controls'!$F$6</x:f>
        <x:v>0</x:v>
      </x:c>
      <x:c r="L122" s="52" t="n">
        <x:f>'Controls'!$F$5*(H122*'Sources'!$J$49+I122*'Sources'!$J$50+J122*'Sources'!$J$51+K122*'Sources'!$J$52)</x:f>
        <x:v>0</x:v>
      </x:c>
      <x:c r="M122" s="53" t="n">
        <x:f>'Curve'!M123</x:f>
        <x:v>0.05828965667373503</x:v>
      </x:c>
      <x:c r="N122" s="21" t="n">
        <x:f>L122*M122</x:f>
        <x:v>0</x:v>
      </x:c>
      <x:c r="O122" s="21" t="n">
        <x:f>C122*N122</x:f>
        <x:v>0</x:v>
      </x:c>
      <x:c r="P122" s="21" t="n">
        <x:f>C122*O122</x:f>
        <x:v>0</x:v>
      </x:c>
      <x:c r="Q122" s="21" t="n">
        <x:f>IF(C122&gt;30,N122,0)</x:f>
        <x:v>0</x:v>
      </x:c>
      <x:c r="R122" s="52" t="n">
        <x:f>O122*'Curve'!N123</x:f>
        <x:v>0</x:v>
      </x:c>
      <x:c r="S122" s="52" t="n">
        <x:f>O122*'Curve'!O123</x:f>
        <x:v>0</x:v>
      </x:c>
      <x:c r="T122" s="52" t="n">
        <x:f>O122*'Curve'!P123</x:f>
        <x:v>0</x:v>
      </x:c>
      <x:c r="U122" s="52" t="n">
        <x:f>O122*'Curve'!Q123</x:f>
        <x:v>0</x:v>
      </x:c>
      <x:c r="V122" s="52" t="n">
        <x:f>O122*'Curve'!R123</x:f>
        <x:v>0</x:v>
      </x:c>
      <x:c r="W122" s="52" t="n">
        <x:f>L122*'Curve'!J123</x:f>
        <x:v>0</x:v>
      </x:c>
    </x:row>
    <x:row r="123" ht="20" customHeight="1">
      <x:c r="A123" s="2"/>
      <x:c r="B123" s="2"/>
      <x:c r="C123" s="2" t="n">
        <x:v>118</x:v>
      </x:c>
      <x:c r="D123" s="46" t="n">
        <x:f>IF(C123+'Sources'!$I$49-1&gt;='Controls'!$F$7,1,INDEX('Sources'!$D$15:$D$134,C123+'Sources'!$I$49))</x:f>
        <x:v>1</x:v>
      </x:c>
      <x:c r="E123" s="46" t="n">
        <x:f>IF(C123+'Sources'!$I$50-1&gt;='Controls'!$F$7,1,INDEX('Sources'!$E$15:$E$134,C123+'Sources'!$I$50))</x:f>
        <x:v>1</x:v>
      </x:c>
      <x:c r="F123" s="46" t="n">
        <x:f>IF(C123+'Sources'!$I$51-1&gt;='Controls'!$F$7,1,INDEX('Sources'!$D$15:$D$134,C123+'Sources'!$I$51))</x:f>
        <x:v>1</x:v>
      </x:c>
      <x:c r="G123" s="46" t="n">
        <x:f>IF(C123+'Sources'!$I$52-1&gt;='Controls'!$F$7,1,INDEX('Sources'!$E$15:$E$134,C123+'Sources'!$I$52))</x:f>
        <x:v>1</x:v>
      </x:c>
      <x:c r="H123" s="20" t="n">
        <x:f>H122*(1-D123)^'Controls'!$F$6</x:f>
        <x:v>0</x:v>
      </x:c>
      <x:c r="I123" s="20" t="n">
        <x:f>I122*(1-E123)^'Controls'!$F$6</x:f>
        <x:v>0</x:v>
      </x:c>
      <x:c r="J123" s="20" t="n">
        <x:f>J122*(1-F123)^'Controls'!$F$6</x:f>
        <x:v>0</x:v>
      </x:c>
      <x:c r="K123" s="20" t="n">
        <x:f>K122*(1-G123)^'Controls'!$F$6</x:f>
        <x:v>0</x:v>
      </x:c>
      <x:c r="L123" s="52" t="n">
        <x:f>'Controls'!$F$5*(H123*'Sources'!$J$49+I123*'Sources'!$J$50+J123*'Sources'!$J$51+K123*'Sources'!$J$52)</x:f>
        <x:v>0</x:v>
      </x:c>
      <x:c r="M123" s="53" t="n">
        <x:f>'Curve'!M124</x:f>
        <x:v>0.058247719475098644</x:v>
      </x:c>
      <x:c r="N123" s="21" t="n">
        <x:f>L123*M123</x:f>
        <x:v>0</x:v>
      </x:c>
      <x:c r="O123" s="21" t="n">
        <x:f>C123*N123</x:f>
        <x:v>0</x:v>
      </x:c>
      <x:c r="P123" s="21" t="n">
        <x:f>C123*O123</x:f>
        <x:v>0</x:v>
      </x:c>
      <x:c r="Q123" s="21" t="n">
        <x:f>IF(C123&gt;30,N123,0)</x:f>
        <x:v>0</x:v>
      </x:c>
      <x:c r="R123" s="52" t="n">
        <x:f>O123*'Curve'!N124</x:f>
        <x:v>0</x:v>
      </x:c>
      <x:c r="S123" s="52" t="n">
        <x:f>O123*'Curve'!O124</x:f>
        <x:v>0</x:v>
      </x:c>
      <x:c r="T123" s="52" t="n">
        <x:f>O123*'Curve'!P124</x:f>
        <x:v>0</x:v>
      </x:c>
      <x:c r="U123" s="52" t="n">
        <x:f>O123*'Curve'!Q124</x:f>
        <x:v>0</x:v>
      </x:c>
      <x:c r="V123" s="52" t="n">
        <x:f>O123*'Curve'!R124</x:f>
        <x:v>0</x:v>
      </x:c>
      <x:c r="W123" s="52" t="n">
        <x:f>L123*'Curve'!J124</x:f>
        <x:v>0</x:v>
      </x:c>
    </x:row>
    <x:row r="124" ht="20" customHeight="1">
      <x:c r="A124" s="2"/>
      <x:c r="B124" s="2"/>
      <x:c r="C124" s="2" t="n">
        <x:v>119</x:v>
      </x:c>
      <x:c r="D124" s="46" t="n">
        <x:f>IF(C124+'Sources'!$I$49-1&gt;='Controls'!$F$7,1,INDEX('Sources'!$D$15:$D$134,C124+'Sources'!$I$49))</x:f>
        <x:v>1</x:v>
      </x:c>
      <x:c r="E124" s="46" t="n">
        <x:f>IF(C124+'Sources'!$I$50-1&gt;='Controls'!$F$7,1,INDEX('Sources'!$E$15:$E$134,C124+'Sources'!$I$50))</x:f>
        <x:v>1</x:v>
      </x:c>
      <x:c r="F124" s="46" t="n">
        <x:f>IF(C124+'Sources'!$I$51-1&gt;='Controls'!$F$7,1,INDEX('Sources'!$D$15:$D$134,C124+'Sources'!$I$51))</x:f>
        <x:v>1</x:v>
      </x:c>
      <x:c r="G124" s="46" t="n">
        <x:f>IF(C124+'Sources'!$I$52-1&gt;='Controls'!$F$7,1,INDEX('Sources'!$E$15:$E$134,C124+'Sources'!$I$52))</x:f>
        <x:v>1</x:v>
      </x:c>
      <x:c r="H124" s="20" t="n">
        <x:f>H123*(1-D124)^'Controls'!$F$6</x:f>
        <x:v>0</x:v>
      </x:c>
      <x:c r="I124" s="20" t="n">
        <x:f>I123*(1-E124)^'Controls'!$F$6</x:f>
        <x:v>0</x:v>
      </x:c>
      <x:c r="J124" s="20" t="n">
        <x:f>J123*(1-F124)^'Controls'!$F$6</x:f>
        <x:v>0</x:v>
      </x:c>
      <x:c r="K124" s="20" t="n">
        <x:f>K123*(1-G124)^'Controls'!$F$6</x:f>
        <x:v>0</x:v>
      </x:c>
      <x:c r="L124" s="52" t="n">
        <x:f>'Controls'!$F$5*(H124*'Sources'!$J$49+I124*'Sources'!$J$50+J124*'Sources'!$J$51+K124*'Sources'!$J$52)</x:f>
        <x:v>0</x:v>
      </x:c>
      <x:c r="M124" s="53" t="n">
        <x:f>'Curve'!M125</x:f>
        <x:v>0.05820806262125399</x:v>
      </x:c>
      <x:c r="N124" s="21" t="n">
        <x:f>L124*M124</x:f>
        <x:v>0</x:v>
      </x:c>
      <x:c r="O124" s="21" t="n">
        <x:f>C124*N124</x:f>
        <x:v>0</x:v>
      </x:c>
      <x:c r="P124" s="21" t="n">
        <x:f>C124*O124</x:f>
        <x:v>0</x:v>
      </x:c>
      <x:c r="Q124" s="21" t="n">
        <x:f>IF(C124&gt;30,N124,0)</x:f>
        <x:v>0</x:v>
      </x:c>
      <x:c r="R124" s="52" t="n">
        <x:f>O124*'Curve'!N125</x:f>
        <x:v>0</x:v>
      </x:c>
      <x:c r="S124" s="52" t="n">
        <x:f>O124*'Curve'!O125</x:f>
        <x:v>0</x:v>
      </x:c>
      <x:c r="T124" s="52" t="n">
        <x:f>O124*'Curve'!P125</x:f>
        <x:v>0</x:v>
      </x:c>
      <x:c r="U124" s="52" t="n">
        <x:f>O124*'Curve'!Q125</x:f>
        <x:v>0</x:v>
      </x:c>
      <x:c r="V124" s="52" t="n">
        <x:f>O124*'Curve'!R125</x:f>
        <x:v>0</x:v>
      </x:c>
      <x:c r="W124" s="52" t="n">
        <x:f>L124*'Curve'!J125</x:f>
        <x:v>0</x:v>
      </x:c>
    </x:row>
    <x:row r="125" ht="20" customHeight="1">
      <x:c r="A125" s="2"/>
      <x:c r="B125" s="2"/>
      <x:c r="C125" s="2" t="n">
        <x:v>120</x:v>
      </x:c>
      <x:c r="D125" s="46" t="n">
        <x:f>IF(C125+'Sources'!$I$49-1&gt;='Controls'!$F$7,1,INDEX('Sources'!$D$15:$D$134,C125+'Sources'!$I$49))</x:f>
        <x:v>1</x:v>
      </x:c>
      <x:c r="E125" s="46" t="n">
        <x:f>IF(C125+'Sources'!$I$50-1&gt;='Controls'!$F$7,1,INDEX('Sources'!$E$15:$E$134,C125+'Sources'!$I$50))</x:f>
        <x:v>1</x:v>
      </x:c>
      <x:c r="F125" s="46" t="n">
        <x:f>IF(C125+'Sources'!$I$51-1&gt;='Controls'!$F$7,1,INDEX('Sources'!$D$15:$D$134,C125+'Sources'!$I$51))</x:f>
        <x:v>1</x:v>
      </x:c>
      <x:c r="G125" s="46" t="n">
        <x:f>IF(C125+'Sources'!$I$52-1&gt;='Controls'!$F$7,1,INDEX('Sources'!$E$15:$E$134,C125+'Sources'!$I$52))</x:f>
        <x:v>1</x:v>
      </x:c>
      <x:c r="H125" s="20" t="n">
        <x:f>H124*(1-D125)^'Controls'!$F$6</x:f>
        <x:v>0</x:v>
      </x:c>
      <x:c r="I125" s="20" t="n">
        <x:f>I124*(1-E125)^'Controls'!$F$6</x:f>
        <x:v>0</x:v>
      </x:c>
      <x:c r="J125" s="20" t="n">
        <x:f>J124*(1-F125)^'Controls'!$F$6</x:f>
        <x:v>0</x:v>
      </x:c>
      <x:c r="K125" s="20" t="n">
        <x:f>K124*(1-G125)^'Controls'!$F$6</x:f>
        <x:v>0</x:v>
      </x:c>
      <x:c r="L125" s="52" t="n">
        <x:f>'Controls'!$F$5*(H125*'Sources'!$J$49+I125*'Sources'!$J$50+J125*'Sources'!$J$51+K125*'Sources'!$J$52)</x:f>
        <x:v>0</x:v>
      </x:c>
      <x:c r="M125" s="53" t="n">
        <x:f>'Curve'!M126</x:f>
        <x:v>0.058170563377155524</x:v>
      </x:c>
      <x:c r="N125" s="21" t="n">
        <x:f>L125*M125</x:f>
        <x:v>0</x:v>
      </x:c>
      <x:c r="O125" s="21" t="n">
        <x:f>C125*N125</x:f>
        <x:v>0</x:v>
      </x:c>
      <x:c r="P125" s="21" t="n">
        <x:f>C125*O125</x:f>
        <x:v>0</x:v>
      </x:c>
      <x:c r="Q125" s="21" t="n">
        <x:f>IF(C125&gt;30,N125,0)</x:f>
        <x:v>0</x:v>
      </x:c>
      <x:c r="R125" s="52" t="n">
        <x:f>O125*'Curve'!N126</x:f>
        <x:v>0</x:v>
      </x:c>
      <x:c r="S125" s="52" t="n">
        <x:f>O125*'Curve'!O126</x:f>
        <x:v>0</x:v>
      </x:c>
      <x:c r="T125" s="52" t="n">
        <x:f>O125*'Curve'!P126</x:f>
        <x:v>0</x:v>
      </x:c>
      <x:c r="U125" s="52" t="n">
        <x:f>O125*'Curve'!Q126</x:f>
        <x:v>0</x:v>
      </x:c>
      <x:c r="V125" s="52" t="n">
        <x:f>O125*'Curve'!R126</x:f>
        <x:v>0</x:v>
      </x:c>
      <x:c r="W125" s="52" t="n">
        <x:f>L125*'Curve'!J126</x:f>
        <x:v>0</x:v>
      </x:c>
    </x:row>
    <x:row r="126" ht="20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</x:row>
    <x:row r="127" ht="20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</x:row>
    <x:row r="128" ht="24" customHeight="1">
      <x:c r="A128" s="2"/>
      <x:c r="B128" s="2"/>
      <x:c r="C128" s="50" t="str">
        <x:v>Liability and fixed asset exposures</x:v>
      </x:c>
      <x:c r="D128" s="50"/>
      <x:c r="E128" s="50"/>
      <x:c r="F128" s="50"/>
      <x:c r="G128" s="50"/>
      <x:c r="H128" s="50"/>
      <x:c r="I128" s="50"/>
      <x:c r="J128" s="50"/>
      <x:c r="K128" s="50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</x:row>
    <x:row r="129" ht="34" customHeight="1">
      <x:c r="A129" s="2"/>
      <x:c r="B129" s="2"/>
      <x:c r="C129" s="2" t="str">
        <x:v>Liability PV (USD)</x:v>
      </x:c>
      <x:c r="D129" s="21" t="n">
        <x:f>SUM(N6:N125)</x:f>
        <x:v>119380495.42258865</x:v>
      </x:c>
      <x:c r="E129" s="2"/>
      <x:c r="F129" s="2"/>
      <x:c r="G129" s="17" t="str">
        <x:v>Key maturity</x:v>
      </x:c>
      <x:c r="H129" s="18" t="str">
        <x:v>Liability DV01</x:v>
      </x:c>
      <x:c r="I129" s="18" t="str">
        <x:v>Asset PV</x:v>
      </x:c>
      <x:c r="J129" s="18" t="str">
        <x:v>Asset DV01</x:v>
      </x:c>
      <x:c r="K129" s="19" t="str">
        <x:v>Net DV01</x:v>
      </x:c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</x:row>
    <x:row r="130" ht="20" customHeight="1">
      <x:c r="A130" s="2"/>
      <x:c r="B130" s="2"/>
      <x:c r="C130" s="2" t="str">
        <x:v>Duration (years)</x:v>
      </x:c>
      <x:c r="D130" s="20" t="n">
        <x:f>IF(D129=0,"n.a.",SUM(O6:O125)/D129)</x:f>
        <x:v>8.473572565547478</x:v>
      </x:c>
      <x:c r="E130" s="2"/>
      <x:c r="F130" s="2"/>
      <x:c r="G130" s="2" t="n">
        <x:v>1</x:v>
      </x:c>
      <x:c r="H130" s="21" t="n">
        <x:f>SUM(R6:R125)/10000</x:f>
        <x:v>5077.735070422901</x:v>
      </x:c>
      <x:c r="I130" s="21" t="n">
        <x:f>INDEX('Sources'!$H$8:$K$12,1,'Controls'!$F$4)*INDEX('Curve'!$M$6:$M$126,G130+1)</x:f>
        <x:v>23941733.75257028</x:v>
      </x:c>
      <x:c r="J130" s="21" t="n">
        <x:f>I130*G130/10000</x:f>
        <x:v>2394.173375257028</x:v>
      </x:c>
      <x:c r="K130" s="21" t="n">
        <x:f>J130-H130</x:f>
        <x:v>-2683.561695165873</x:v>
      </x:c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</x:row>
    <x:row r="131" ht="20" customHeight="1">
      <x:c r="A131" s="2"/>
      <x:c r="B131" s="2"/>
      <x:c r="C131" s="2" t="str">
        <x:v>Convexity (years squared)</x:v>
      </x:c>
      <x:c r="D131" s="20" t="n">
        <x:f>IF(D129=0,"n.a.",SUM(P6:P125)/D129)</x:f>
        <x:v>113.75899853395335</x:v>
      </x:c>
      <x:c r="E131" s="2"/>
      <x:c r="F131" s="2"/>
      <x:c r="G131" s="2" t="n">
        <x:v>5</x:v>
      </x:c>
      <x:c r="H131" s="21" t="n">
        <x:f>SUM(S6:S125)/10000</x:f>
        <x:v>18844.983036553393</x:v>
      </x:c>
      <x:c r="I131" s="21" t="n">
        <x:f>INDEX('Sources'!$H$8:$K$12,2,'Controls'!$F$4)*INDEX('Curve'!$M$6:$M$126,G131+1)</x:f>
        <x:v>39242874.68067482</x:v>
      </x:c>
      <x:c r="J131" s="21" t="n">
        <x:f>I131*G131/10000</x:f>
        <x:v>19621.437340337412</x:v>
      </x:c>
      <x:c r="K131" s="21" t="n">
        <x:f>J131-H131</x:f>
        <x:v>776.4543037840194</x:v>
      </x:c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</x:row>
    <x:row r="132" ht="20" customHeight="1">
      <x:c r="A132" s="2"/>
      <x:c r="B132" s="2"/>
      <x:c r="C132" s="2" t="str">
        <x:v>DV01 (USD/bp)</x:v>
      </x:c>
      <x:c r="D132" s="21" t="n">
        <x:f>SUM(O6:O125)/10000</x:f>
        <x:v>101157.92908743133</x:v>
      </x:c>
      <x:c r="E132" s="2"/>
      <x:c r="F132" s="2"/>
      <x:c r="G132" s="2" t="n">
        <x:v>10</x:v>
      </x:c>
      <x:c r="H132" s="21" t="n">
        <x:f>SUM(T6:T125)/10000</x:f>
        <x:v>37828.834284547665</x:v>
      </x:c>
      <x:c r="I132" s="21" t="n">
        <x:f>INDEX('Sources'!$H$8:$K$12,3,'Controls'!$F$4)*INDEX('Curve'!$M$6:$M$126,G132+1)</x:f>
        <x:v>37954803.72545732</x:v>
      </x:c>
      <x:c r="J132" s="21" t="n">
        <x:f>I132*G132/10000</x:f>
        <x:v>37954.803725457314</x:v>
      </x:c>
      <x:c r="K132" s="21" t="n">
        <x:f>J132-H132</x:f>
        <x:v>125.96944090964826</x:v>
      </x:c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</x:row>
    <x:row r="133" ht="20" customHeight="1">
      <x:c r="A133" s="2"/>
      <x:c r="B133" s="2"/>
      <x:c r="C133" s="2" t="str">
        <x:v>PV after 30 years (USD)</x:v>
      </x:c>
      <x:c r="D133" s="21" t="n">
        <x:f>SUM(Q6:Q125)</x:f>
        <x:v>583401.0586616071</x:v>
      </x:c>
      <x:c r="E133" s="2"/>
      <x:c r="F133" s="2"/>
      <x:c r="G133" s="2" t="n">
        <x:v>20</x:v>
      </x:c>
      <x:c r="H133" s="21" t="n">
        <x:f>SUM(U6:U125)/10000</x:f>
        <x:v>30825.26843615821</x:v>
      </x:c>
      <x:c r="I133" s="21" t="n">
        <x:f>INDEX('Sources'!$H$8:$K$12,4,'Controls'!$F$4)*INDEX('Curve'!$M$6:$M$126,G133+1)</x:f>
        <x:v>15331419.721326962</x:v>
      </x:c>
      <x:c r="J133" s="21" t="n">
        <x:f>I133*G133/10000</x:f>
        <x:v>30662.839442653923</x:v>
      </x:c>
      <x:c r="K133" s="21" t="n">
        <x:f>J133-H133</x:f>
        <x:v>-162.42899350428706</x:v>
      </x:c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</x:row>
    <x:row r="134" ht="20" customHeight="1">
      <x:c r="A134" s="2"/>
      <x:c r="B134" s="2"/>
      <x:c r="C134" s="2" t="str">
        <x:v>PV share after 30 years</x:v>
      </x:c>
      <x:c r="D134" s="45" t="n">
        <x:f>IF(D129=0,"n.a.",D133/D129)</x:f>
        <x:v>0.004886904318803979</x:v>
      </x:c>
      <x:c r="E134" s="2"/>
      <x:c r="F134" s="2"/>
      <x:c r="G134" s="2" t="n">
        <x:v>30</x:v>
      </x:c>
      <x:c r="H134" s="21" t="n">
        <x:f>SUM(V6:V125)/10000</x:f>
        <x:v>8581.108259749108</x:v>
      </x:c>
      <x:c r="I134" s="21" t="n">
        <x:f>INDEX('Sources'!$H$8:$K$12,5,'Controls'!$F$4)*INDEX('Curve'!$M$6:$M$126,G134+1)</x:f>
        <x:v>2909663.5425592433</x:v>
      </x:c>
      <x:c r="J134" s="21" t="n">
        <x:f>I134*G134/10000</x:f>
        <x:v>8728.99062767773</x:v>
      </x:c>
      <x:c r="K134" s="21" t="n">
        <x:f>J134-H134</x:f>
        <x:v>147.88236792862153</x:v>
      </x:c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</x:row>
    <x:row r="135" ht="20" customHeight="1">
      <x:c r="A135" s="2"/>
      <x:c r="B135" s="2"/>
      <x:c r="C135" s="2" t="str">
        <x:v>Expected nominal benefits</x:v>
      </x:c>
      <x:c r="D135" s="21" t="n">
        <x:f>SUM(L6:L125)</x:f>
        <x:v>204661567.20937616</x:v>
      </x:c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</x:row>
    <x:row r="136" ht="20" customHeight="1">
      <x:c r="A136" s="2"/>
      <x:c r="B136" s="2"/>
      <x:c r="C136" s="2" t="str">
        <x:v>Fixed asset PV (USD)</x:v>
      </x:c>
      <x:c r="D136" s="21" t="n">
        <x:f>SUM(I130:I134)</x:f>
        <x:v>119380495.42258862</x:v>
      </x:c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</x:row>
    <x:row r="137" ht="20" customHeight="1">
      <x:c r="A137" s="2"/>
      <x:c r="B137" s="2"/>
      <x:c r="C137" s="2" t="str">
        <x:v>Surplus (USD)</x:v>
      </x:c>
      <x:c r="D137" s="21" t="n">
        <x:f>D136-D129</x:f>
        <x:v>-2.9802322387695312e-8</x:v>
      </x:c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</x:row>
    <x:row r="138" ht="20" customHeight="1">
      <x:c r="A138" s="2"/>
      <x:c r="B138" s="2"/>
      <x:c r="C138" s="2" t="str">
        <x:v>Funding ratio</x:v>
      </x:c>
      <x:c r="D138" s="51" t="n">
        <x:f>IF(D129=0,"n.a.",D136/D129)</x:f>
        <x:v>0.9999999999999998</x:v>
      </x:c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</x:row>
    <x:row r="139" ht="20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3" hidden="0" customWidth="1"/>
    <x:col min="2" max="2" width="2" hidden="0" customWidth="1"/>
    <x:col min="3" max="3" width="10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</x:cols>
  <x:sheetData>
    <x:row r="1" ht="2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0" customHeight="1">
      <x:c r="A2" s="2"/>
      <x:c r="B2" s="2"/>
      <x:c r="C2" s="4" t="str">
        <x:v>Svensson curve and rate stresses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</x:row>
    <x:row r="3" ht="20" customHeight="1">
      <x:c r="A3" s="2"/>
      <x:c r="B3" s="2"/>
      <x:c r="C3" s="2" t="str">
        <x:v>Portfolio</x:v>
      </x:c>
      <x:c r="D3" s="6" t="str">
        <x:f>INDEX('Sources'!$H$7:$K$7,1,'Controls'!$F$4)</x:f>
        <x:v>Covariance hedge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0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34" customHeight="1">
      <x:c r="A5" s="2"/>
      <x:c r="B5" s="2"/>
      <x:c r="C5" s="17" t="str">
        <x:v>Year</x:v>
      </x:c>
      <x:c r="D5" s="18" t="str">
        <x:v>Loading 1</x:v>
      </x:c>
      <x:c r="E5" s="18" t="str">
        <x:v>Exp 1</x:v>
      </x:c>
      <x:c r="F5" s="18" t="str">
        <x:v>Loading 2</x:v>
      </x:c>
      <x:c r="G5" s="18" t="str">
        <x:v>Exp 2</x:v>
      </x:c>
      <x:c r="H5" s="18" t="str">
        <x:v>Svensson zero</x:v>
      </x:c>
      <x:c r="I5" s="18" t="str">
        <x:v>Base log DF</x:v>
      </x:c>
      <x:c r="J5" s="18" t="str">
        <x:v>Base DF</x:v>
      </x:c>
      <x:c r="K5" s="18" t="str">
        <x:v>Active tail log DF</x:v>
      </x:c>
      <x:c r="L5" s="18" t="str">
        <x:v>Rate shift</x:v>
      </x:c>
      <x:c r="M5" s="18" t="str">
        <x:v>Active DF</x:v>
      </x:c>
      <x:c r="N5" s="18" t="str">
        <x:v>Hat 1y</x:v>
      </x:c>
      <x:c r="O5" s="18" t="str">
        <x:v>Hat 5y</x:v>
      </x:c>
      <x:c r="P5" s="18" t="str">
        <x:v>Hat 10y</x:v>
      </x:c>
      <x:c r="Q5" s="18" t="str">
        <x:v>Hat 20y</x:v>
      </x:c>
      <x:c r="R5" s="19" t="str">
        <x:v>Hat 30y</x:v>
      </x:c>
    </x:row>
    <x:row r="6" ht="20" customHeight="1">
      <x:c r="A6" s="2"/>
      <x:c r="B6" s="2"/>
      <x:c r="C6" s="2" t="n">
        <x:v>0</x:v>
      </x:c>
      <x:c r="D6" s="46" t="n">
        <x:f>IF(C6=0,1,(1-EXP(-C6/'Sources'!$D$10))/(C6/'Sources'!$D$10))</x:f>
        <x:v>1</x:v>
      </x:c>
      <x:c r="E6" s="46" t="n">
        <x:f>EXP(-C6/'Sources'!$D$10)</x:f>
        <x:v>1</x:v>
      </x:c>
      <x:c r="F6" s="46" t="n">
        <x:f>IF(C6=0,1,(1-EXP(-C6/'Sources'!$D$11))/(C6/'Sources'!$D$11))</x:f>
        <x:v>1</x:v>
      </x:c>
      <x:c r="G6" s="46" t="n">
        <x:f>EXP(-C6/'Sources'!$D$11)</x:f>
        <x:v>1</x:v>
      </x:c>
      <x:c r="H6" s="47" t="n">
        <x:f>('Sources'!$D$6+'Sources'!$D$7*D6+'Sources'!$D$8*(D6-E6)+'Sources'!$D$9*(F6-G6))/100</x:f>
        <x:v>0.03927769812910122</x:v>
      </x:c>
      <x:c r="I6" s="20" t="n">
        <x:f>-C6*H6</x:f>
        <x:v>0</x:v>
      </x:c>
      <x:c r="J6" s="20" t="n">
        <x:f>EXP(I6)</x:f>
        <x:v>1</x:v>
      </x:c>
      <x:c r="K6" s="46" t="n">
        <x:f>IF(C6&lt;=30,I6,IF('Controls'!$F$14=1,I6,IF('Controls'!$F$14=2,$I$36+(C6-30)*($I$36-$I$35),-C6*$H$36)))</x:f>
        <x:v>0</x:v>
      </x:c>
      <x:c r="L6" s="48" t="n">
        <x:f>'Controls'!$F$8+N6*'Controls'!$F$9+O6*'Controls'!$F$10+P6*'Controls'!$F$11+Q6*'Controls'!$F$12+R6*'Controls'!$F$13</x:f>
        <x:v>0</x:v>
      </x:c>
      <x:c r="M6" s="20" t="n">
        <x:f>EXP(K6-C6*L6)</x:f>
        <x:v>1</x:v>
      </x:c>
      <x:c r="N6" s="20" t="n">
        <x:f>IF(C6&lt;=1,1,IF(C6&lt;5,(5-C6)/4,0))</x:f>
        <x:v>1</x:v>
      </x:c>
      <x:c r="O6" s="20" t="n">
        <x:f>IF(C6&lt;=1,0,IF(C6&lt;5,(C6-1)/4,IF(C6&lt;10,(10-C6)/5,0)))</x:f>
        <x:v>0</x:v>
      </x:c>
      <x:c r="P6" s="20" t="n">
        <x:f>IF(C6&lt;=5,0,IF(C6&lt;10,(C6-5)/5,IF(C6&lt;20,(20-C6)/10,0)))</x:f>
        <x:v>0</x:v>
      </x:c>
      <x:c r="Q6" s="20" t="n">
        <x:f>IF(C6&lt;=10,0,IF(C6&lt;20,(C6-10)/10,IF(C6&lt;30,(30-C6)/10,0)))</x:f>
        <x:v>0</x:v>
      </x:c>
      <x:c r="R6" s="20" t="n">
        <x:f>IF(C6&lt;=20,0,IF(C6&lt;30,(C6-20)/10,1))</x:f>
        <x:v>0</x:v>
      </x:c>
    </x:row>
    <x:row r="7" ht="20" customHeight="1">
      <x:c r="A7" s="2"/>
      <x:c r="B7" s="2"/>
      <x:c r="C7" s="2" t="n">
        <x:v>1</x:v>
      </x:c>
      <x:c r="D7" s="46" t="n">
        <x:f>IF(C7=0,1,(1-EXP(-C7/'Sources'!$D$10))/(C7/'Sources'!$D$10))</x:f>
        <x:v>0.7739834520890776</x:v>
      </x:c>
      <x:c r="E7" s="46" t="n">
        <x:f>EXP(-C7/'Sources'!$D$10)</x:f>
        <x:v>0.5848952372402814</x:v>
      </x:c>
      <x:c r="F7" s="46" t="n">
        <x:f>IF(C7=0,1,(1-EXP(-C7/'Sources'!$D$11))/(C7/'Sources'!$D$11))</x:f>
        <x:v>0.9688232915691879</x:v>
      </x:c>
      <x:c r="G7" s="46" t="n">
        <x:f>EXP(-C7/'Sources'!$D$11)</x:f>
        <x:v>0.9383014082527236</x:v>
      </x:c>
      <x:c r="H7" s="47" t="n">
        <x:f>('Sources'!$D$6+'Sources'!$D$7*D7+'Sources'!$D$8*(D7-E7)+'Sources'!$D$9*(F7-G7))/100</x:f>
        <x:v>0.04558289139582031</x:v>
      </x:c>
      <x:c r="I7" s="20" t="n">
        <x:f>-C7*H7</x:f>
        <x:v>-0.04558289139582031</x:v>
      </x:c>
      <x:c r="J7" s="20" t="n">
        <x:f>EXP(I7)</x:f>
        <x:v>0.9554404015009527</x:v>
      </x:c>
      <x:c r="K7" s="46" t="n">
        <x:f>IF(C7&lt;=30,I7,IF('Controls'!$F$14=1,I7,IF('Controls'!$F$14=2,$I$36+(C7-30)*($I$36-$I$35),-C7*$H$36)))</x:f>
        <x:v>-0.04558289139582031</x:v>
      </x:c>
      <x:c r="L7" s="48" t="n">
        <x:f>'Controls'!$F$8+N7*'Controls'!$F$9+O7*'Controls'!$F$10+P7*'Controls'!$F$11+Q7*'Controls'!$F$12+R7*'Controls'!$F$13</x:f>
        <x:v>0</x:v>
      </x:c>
      <x:c r="M7" s="20" t="n">
        <x:f>EXP(K7-C7*L7)</x:f>
        <x:v>0.9554404015009527</x:v>
      </x:c>
      <x:c r="N7" s="20" t="n">
        <x:f>IF(C7&lt;=1,1,IF(C7&lt;5,(5-C7)/4,0))</x:f>
        <x:v>1</x:v>
      </x:c>
      <x:c r="O7" s="20" t="n">
        <x:f>IF(C7&lt;=1,0,IF(C7&lt;5,(C7-1)/4,IF(C7&lt;10,(10-C7)/5,0)))</x:f>
        <x:v>0</x:v>
      </x:c>
      <x:c r="P7" s="20" t="n">
        <x:f>IF(C7&lt;=5,0,IF(C7&lt;10,(C7-5)/5,IF(C7&lt;20,(20-C7)/10,0)))</x:f>
        <x:v>0</x:v>
      </x:c>
      <x:c r="Q7" s="20" t="n">
        <x:f>IF(C7&lt;=10,0,IF(C7&lt;20,(C7-10)/10,IF(C7&lt;30,(30-C7)/10,0)))</x:f>
        <x:v>0</x:v>
      </x:c>
      <x:c r="R7" s="20" t="n">
        <x:f>IF(C7&lt;=20,0,IF(C7&lt;30,(C7-20)/10,1))</x:f>
        <x:v>0</x:v>
      </x:c>
    </x:row>
    <x:row r="8" ht="20" customHeight="1">
      <x:c r="A8" s="2"/>
      <x:c r="B8" s="2"/>
      <x:c r="C8" s="2" t="n">
        <x:v>2</x:v>
      </x:c>
      <x:c r="D8" s="46" t="n">
        <x:f>IF(C8=0,1,(1-EXP(-C8/'Sources'!$D$10))/(C8/'Sources'!$D$10))</x:f>
        <x:v>0.6133413434593854</x:v>
      </x:c>
      <x:c r="E8" s="46" t="n">
        <x:f>EXP(-C8/'Sources'!$D$10)</x:f>
        <x:v>0.34210243854636496</x:v>
      </x:c>
      <x:c r="F8" s="46" t="n">
        <x:f>IF(C8=0,1,(1-EXP(-C8/'Sources'!$D$11))/(C8/'Sources'!$D$11))</x:f>
        <x:v>0.9389357751982981</x:v>
      </x:c>
      <x:c r="G8" s="46" t="n">
        <x:f>EXP(-C8/'Sources'!$D$11)</x:f>
        <x:v>0.8804095327290442</x:v>
      </x:c>
      <x:c r="H8" s="47" t="n">
        <x:f>('Sources'!$D$6+'Sources'!$D$7*D8+'Sources'!$D$8*(D8-E8)+'Sources'!$D$9*(F8-G8))/100</x:f>
        <x:v>0.04838957683516387</x:v>
      </x:c>
      <x:c r="I8" s="20" t="n">
        <x:f>-C8*H8</x:f>
        <x:v>-0.09677915367032774</x:v>
      </x:c>
      <x:c r="J8" s="20" t="n">
        <x:f>EXP(I8)</x:f>
        <x:v>0.9077564586799891</x:v>
      </x:c>
      <x:c r="K8" s="46" t="n">
        <x:f>IF(C8&lt;=30,I8,IF('Controls'!$F$14=1,I8,IF('Controls'!$F$14=2,$I$36+(C8-30)*($I$36-$I$35),-C8*$H$36)))</x:f>
        <x:v>-0.09677915367032774</x:v>
      </x:c>
      <x:c r="L8" s="48" t="n">
        <x:f>'Controls'!$F$8+N8*'Controls'!$F$9+O8*'Controls'!$F$10+P8*'Controls'!$F$11+Q8*'Controls'!$F$12+R8*'Controls'!$F$13</x:f>
        <x:v>0</x:v>
      </x:c>
      <x:c r="M8" s="20" t="n">
        <x:f>EXP(K8-C8*L8)</x:f>
        <x:v>0.9077564586799891</x:v>
      </x:c>
      <x:c r="N8" s="20" t="n">
        <x:f>IF(C8&lt;=1,1,IF(C8&lt;5,(5-C8)/4,0))</x:f>
        <x:v>0.75</x:v>
      </x:c>
      <x:c r="O8" s="20" t="n">
        <x:f>IF(C8&lt;=1,0,IF(C8&lt;5,(C8-1)/4,IF(C8&lt;10,(10-C8)/5,0)))</x:f>
        <x:v>0.25</x:v>
      </x:c>
      <x:c r="P8" s="20" t="n">
        <x:f>IF(C8&lt;=5,0,IF(C8&lt;10,(C8-5)/5,IF(C8&lt;20,(20-C8)/10,0)))</x:f>
        <x:v>0</x:v>
      </x:c>
      <x:c r="Q8" s="20" t="n">
        <x:f>IF(C8&lt;=10,0,IF(C8&lt;20,(C8-10)/10,IF(C8&lt;30,(30-C8)/10,0)))</x:f>
        <x:v>0</x:v>
      </x:c>
      <x:c r="R8" s="20" t="n">
        <x:f>IF(C8&lt;=20,0,IF(C8&lt;30,(C8-20)/10,1))</x:f>
        <x:v>0</x:v>
      </x:c>
    </x:row>
    <x:row r="9" ht="20" customHeight="1">
      <x:c r="A9" s="2"/>
      <x:c r="B9" s="2"/>
      <x:c r="C9" s="2" t="n">
        <x:v>3</x:v>
      </x:c>
      <x:c r="D9" s="46" t="n">
        <x:f>IF(C9=0,1,(1-EXP(-C9/'Sources'!$D$10))/(C9/'Sources'!$D$10))</x:f>
        <x:v>0.4971547710909926</x:v>
      </x:c>
      <x:c r="E9" s="46" t="n">
        <x:f>EXP(-C9/'Sources'!$D$10)</x:f>
        <x:v>0.20009408695405487</x:v>
      </x:c>
      <x:c r="F9" s="46" t="n">
        <x:f>IF(C9=0,1,(1-EXP(-C9/'Sources'!$D$11))/(C9/'Sources'!$D$11))</x:f>
        <x:v>0.910277603941347</x:v>
      </x:c>
      <x:c r="G9" s="46" t="n">
        <x:f>EXP(-C9/'Sources'!$D$11)</x:f>
        <x:v>0.8260895043987844</x:v>
      </x:c>
      <x:c r="H9" s="47" t="n">
        <x:f>('Sources'!$D$6+'Sources'!$D$7*D9+'Sources'!$D$8*(D9-E9)+'Sources'!$D$9*(F9-G9))/100</x:f>
        <x:v>0.049573260093980845</x:v>
      </x:c>
      <x:c r="I9" s="20" t="n">
        <x:f>-C9*H9</x:f>
        <x:v>-0.14871978028194255</x:v>
      </x:c>
      <x:c r="J9" s="20" t="n">
        <x:f>EXP(I9)</x:f>
        <x:v>0.8618105773831168</x:v>
      </x:c>
      <x:c r="K9" s="46" t="n">
        <x:f>IF(C9&lt;=30,I9,IF('Controls'!$F$14=1,I9,IF('Controls'!$F$14=2,$I$36+(C9-30)*($I$36-$I$35),-C9*$H$36)))</x:f>
        <x:v>-0.14871978028194255</x:v>
      </x:c>
      <x:c r="L9" s="48" t="n">
        <x:f>'Controls'!$F$8+N9*'Controls'!$F$9+O9*'Controls'!$F$10+P9*'Controls'!$F$11+Q9*'Controls'!$F$12+R9*'Controls'!$F$13</x:f>
        <x:v>0</x:v>
      </x:c>
      <x:c r="M9" s="20" t="n">
        <x:f>EXP(K9-C9*L9)</x:f>
        <x:v>0.8618105773831168</x:v>
      </x:c>
      <x:c r="N9" s="20" t="n">
        <x:f>IF(C9&lt;=1,1,IF(C9&lt;5,(5-C9)/4,0))</x:f>
        <x:v>0.5</x:v>
      </x:c>
      <x:c r="O9" s="20" t="n">
        <x:f>IF(C9&lt;=1,0,IF(C9&lt;5,(C9-1)/4,IF(C9&lt;10,(10-C9)/5,0)))</x:f>
        <x:v>0.5</x:v>
      </x:c>
      <x:c r="P9" s="20" t="n">
        <x:f>IF(C9&lt;=5,0,IF(C9&lt;10,(C9-5)/5,IF(C9&lt;20,(20-C9)/10,0)))</x:f>
        <x:v>0</x:v>
      </x:c>
      <x:c r="Q9" s="20" t="n">
        <x:f>IF(C9&lt;=10,0,IF(C9&lt;20,(C9-10)/10,IF(C9&lt;30,(30-C9)/10,0)))</x:f>
        <x:v>0</x:v>
      </x:c>
      <x:c r="R9" s="20" t="n">
        <x:f>IF(C9&lt;=20,0,IF(C9&lt;30,(C9-20)/10,1))</x:f>
        <x:v>0</x:v>
      </x:c>
    </x:row>
    <x:row r="10" ht="20" customHeight="1">
      <x:c r="A10" s="2"/>
      <x:c r="B10" s="2"/>
      <x:c r="C10" s="2" t="n">
        <x:v>4</x:v>
      </x:c>
      <x:c r="D10" s="46" t="n">
        <x:f>IF(C10=0,1,(1-EXP(-C10/'Sources'!$D$10))/(C10/'Sources'!$D$10))</x:f>
        <x:v>0.41158345635907234</x:v>
      </x:c>
      <x:c r="E10" s="46" t="n">
        <x:f>EXP(-C10/'Sources'!$D$10)</x:f>
        <x:v>0.11703407845936942</x:v>
      </x:c>
      <x:c r="F10" s="46" t="n">
        <x:f>IF(C10=0,1,(1-EXP(-C10/'Sources'!$D$11))/(C10/'Sources'!$D$11))</x:f>
        <x:v>0.8827918911516073</x:v>
      </x:c>
      <x:c r="G10" s="46" t="n">
        <x:f>EXP(-C10/'Sources'!$D$11)</x:f>
        <x:v>0.775120945320174</x:v>
      </x:c>
      <x:c r="H10" s="47" t="n">
        <x:f>('Sources'!$D$6+'Sources'!$D$7*D10+'Sources'!$D$8*(D10-E10)+'Sources'!$D$9*(F10-G10))/100</x:f>
        <x:v>0.050093741681305495</x:v>
      </x:c>
      <x:c r="I10" s="20" t="n">
        <x:f>-C10*H10</x:f>
        <x:v>-0.20037496672522198</x:v>
      </x:c>
      <x:c r="J10" s="20" t="n">
        <x:f>EXP(I10)</x:f>
        <x:v>0.8184238138382588</x:v>
      </x:c>
      <x:c r="K10" s="46" t="n">
        <x:f>IF(C10&lt;=30,I10,IF('Controls'!$F$14=1,I10,IF('Controls'!$F$14=2,$I$36+(C10-30)*($I$36-$I$35),-C10*$H$36)))</x:f>
        <x:v>-0.20037496672522198</x:v>
      </x:c>
      <x:c r="L10" s="48" t="n">
        <x:f>'Controls'!$F$8+N10*'Controls'!$F$9+O10*'Controls'!$F$10+P10*'Controls'!$F$11+Q10*'Controls'!$F$12+R10*'Controls'!$F$13</x:f>
        <x:v>0</x:v>
      </x:c>
      <x:c r="M10" s="20" t="n">
        <x:f>EXP(K10-C10*L10)</x:f>
        <x:v>0.8184238138382588</x:v>
      </x:c>
      <x:c r="N10" s="20" t="n">
        <x:f>IF(C10&lt;=1,1,IF(C10&lt;5,(5-C10)/4,0))</x:f>
        <x:v>0.25</x:v>
      </x:c>
      <x:c r="O10" s="20" t="n">
        <x:f>IF(C10&lt;=1,0,IF(C10&lt;5,(C10-1)/4,IF(C10&lt;10,(10-C10)/5,0)))</x:f>
        <x:v>0.75</x:v>
      </x:c>
      <x:c r="P10" s="20" t="n">
        <x:f>IF(C10&lt;=5,0,IF(C10&lt;10,(C10-5)/5,IF(C10&lt;20,(20-C10)/10,0)))</x:f>
        <x:v>0</x:v>
      </x:c>
      <x:c r="Q10" s="20" t="n">
        <x:f>IF(C10&lt;=10,0,IF(C10&lt;20,(C10-10)/10,IF(C10&lt;30,(30-C10)/10,0)))</x:f>
        <x:v>0</x:v>
      </x:c>
      <x:c r="R10" s="20" t="n">
        <x:f>IF(C10&lt;=20,0,IF(C10&lt;30,(C10-20)/10,1))</x:f>
        <x:v>0</x:v>
      </x:c>
    </x:row>
    <x:row r="11" ht="20" customHeight="1">
      <x:c r="A11" s="2"/>
      <x:c r="B11" s="2"/>
      <x:c r="C11" s="2" t="n">
        <x:v>5</x:v>
      </x:c>
      <x:c r="D11" s="46" t="n">
        <x:f>IF(C11=0,1,(1-EXP(-C11/'Sources'!$D$10))/(C11/'Sources'!$D$10))</x:f>
        <x:v>0.3473832530988672</x:v>
      </x:c>
      <x:c r="E11" s="46" t="n">
        <x:f>EXP(-C11/'Sources'!$D$10)</x:f>
        <x:v>0.06845267508569058</x:v>
      </x:c>
      <x:c r="F11" s="46" t="n">
        <x:f>IF(C11=0,1,(1-EXP(-C11/'Sources'!$D$11))/(C11/'Sources'!$D$11))</x:f>
        <x:v>0.8564245580431482</x:v>
      </x:c>
      <x:c r="G11" s="46" t="n">
        <x:f>EXP(-C11/'Sources'!$D$11)</x:f>
        <x:v>0.7272970745601015</x:v>
      </x:c>
      <x:c r="H11" s="47" t="n">
        <x:f>('Sources'!$D$6+'Sources'!$D$7*D11+'Sources'!$D$8*(D11-E11)+'Sources'!$D$9*(F11-G11))/100</x:f>
        <x:v>0.05041647129191924</x:v>
      </x:c>
      <x:c r="I11" s="20" t="n">
        <x:f>-C11*H11</x:f>
        <x:v>-0.2520823564595962</x:v>
      </x:c>
      <x:c r="J11" s="20" t="n">
        <x:f>EXP(I11)</x:f>
        <x:v>0.7771807295798715</x:v>
      </x:c>
      <x:c r="K11" s="46" t="n">
        <x:f>IF(C11&lt;=30,I11,IF('Controls'!$F$14=1,I11,IF('Controls'!$F$14=2,$I$36+(C11-30)*($I$36-$I$35),-C11*$H$36)))</x:f>
        <x:v>-0.2520823564595962</x:v>
      </x:c>
      <x:c r="L11" s="48" t="n">
        <x:f>'Controls'!$F$8+N11*'Controls'!$F$9+O11*'Controls'!$F$10+P11*'Controls'!$F$11+Q11*'Controls'!$F$12+R11*'Controls'!$F$13</x:f>
        <x:v>0</x:v>
      </x:c>
      <x:c r="M11" s="20" t="n">
        <x:f>EXP(K11-C11*L11)</x:f>
        <x:v>0.7771807295798715</x:v>
      </x:c>
      <x:c r="N11" s="20" t="n">
        <x:f>IF(C11&lt;=1,1,IF(C11&lt;5,(5-C11)/4,0))</x:f>
        <x:v>0</x:v>
      </x:c>
      <x:c r="O11" s="20" t="n">
        <x:f>IF(C11&lt;=1,0,IF(C11&lt;5,(C11-1)/4,IF(C11&lt;10,(10-C11)/5,0)))</x:f>
        <x:v>1</x:v>
      </x:c>
      <x:c r="P11" s="20" t="n">
        <x:f>IF(C11&lt;=5,0,IF(C11&lt;10,(C11-5)/5,IF(C11&lt;20,(20-C11)/10,0)))</x:f>
        <x:v>0</x:v>
      </x:c>
      <x:c r="Q11" s="20" t="n">
        <x:f>IF(C11&lt;=10,0,IF(C11&lt;20,(C11-10)/10,IF(C11&lt;30,(30-C11)/10,0)))</x:f>
        <x:v>0</x:v>
      </x:c>
      <x:c r="R11" s="20" t="n">
        <x:f>IF(C11&lt;=20,0,IF(C11&lt;30,(C11-20)/10,1))</x:f>
        <x:v>0</x:v>
      </x:c>
    </x:row>
    <x:row r="12" ht="20" customHeight="1">
      <x:c r="A12" s="2"/>
      <x:c r="B12" s="2"/>
      <x:c r="C12" s="2" t="n">
        <x:v>6</x:v>
      </x:c>
      <x:c r="D12" s="46" t="n">
        <x:f>IF(C12=0,1,(1-EXP(-C12/'Sources'!$D$10))/(C12/'Sources'!$D$10))</x:f>
        <x:v>0.29831625054364846</x:v>
      </x:c>
      <x:c r="E12" s="46" t="n">
        <x:f>EXP(-C12/'Sources'!$D$10)</x:f>
        <x:v>0.04003764363397687</x:v>
      </x:c>
      <x:c r="F12" s="46" t="n">
        <x:f>IF(C12=0,1,(1-EXP(-C12/'Sources'!$D$11))/(C12/'Sources'!$D$11))</x:f>
        <x:v>0.8311241893232835</x:v>
      </x:c>
      <x:c r="G12" s="46" t="n">
        <x:f>EXP(-C12/'Sources'!$D$11)</x:f>
        <x:v>0.6824238692778293</x:v>
      </x:c>
      <x:c r="H12" s="47" t="n">
        <x:f>('Sources'!$D$6+'Sources'!$D$7*D12+'Sources'!$D$8*(D12-E12)+'Sources'!$D$9*(F12-G12))/100</x:f>
        <x:v>0.05074635640964849</x:v>
      </x:c>
      <x:c r="I12" s="20" t="n">
        <x:f>-C12*H12</x:f>
        <x:v>-0.30447813845789096</x:v>
      </x:c>
      <x:c r="J12" s="20" t="n">
        <x:f>EXP(I12)</x:f>
        <x:v>0.7375081511238692</x:v>
      </x:c>
      <x:c r="K12" s="46" t="n">
        <x:f>IF(C12&lt;=30,I12,IF('Controls'!$F$14=1,I12,IF('Controls'!$F$14=2,$I$36+(C12-30)*($I$36-$I$35),-C12*$H$36)))</x:f>
        <x:v>-0.30447813845789096</x:v>
      </x:c>
      <x:c r="L12" s="48" t="n">
        <x:f>'Controls'!$F$8+N12*'Controls'!$F$9+O12*'Controls'!$F$10+P12*'Controls'!$F$11+Q12*'Controls'!$F$12+R12*'Controls'!$F$13</x:f>
        <x:v>0</x:v>
      </x:c>
      <x:c r="M12" s="20" t="n">
        <x:f>EXP(K12-C12*L12)</x:f>
        <x:v>0.7375081511238692</x:v>
      </x:c>
      <x:c r="N12" s="20" t="n">
        <x:f>IF(C12&lt;=1,1,IF(C12&lt;5,(5-C12)/4,0))</x:f>
        <x:v>0</x:v>
      </x:c>
      <x:c r="O12" s="20" t="n">
        <x:f>IF(C12&lt;=1,0,IF(C12&lt;5,(C12-1)/4,IF(C12&lt;10,(10-C12)/5,0)))</x:f>
        <x:v>0.8</x:v>
      </x:c>
      <x:c r="P12" s="20" t="n">
        <x:f>IF(C12&lt;=5,0,IF(C12&lt;10,(C12-5)/5,IF(C12&lt;20,(20-C12)/10,0)))</x:f>
        <x:v>0.2</x:v>
      </x:c>
      <x:c r="Q12" s="20" t="n">
        <x:f>IF(C12&lt;=10,0,IF(C12&lt;20,(C12-10)/10,IF(C12&lt;30,(30-C12)/10,0)))</x:f>
        <x:v>0</x:v>
      </x:c>
      <x:c r="R12" s="20" t="n">
        <x:f>IF(C12&lt;=20,0,IF(C12&lt;30,(C12-20)/10,1))</x:f>
        <x:v>0</x:v>
      </x:c>
    </x:row>
    <x:row r="13" ht="20" customHeight="1">
      <x:c r="A13" s="2"/>
      <x:c r="B13" s="2"/>
      <x:c r="C13" s="2" t="n">
        <x:v>7</x:v>
      </x:c>
      <x:c r="D13" s="46" t="n">
        <x:f>IF(C13=0,1,(1-EXP(-C13/'Sources'!$D$10))/(C13/'Sources'!$D$10))</x:f>
        <x:v>0.2601265681278898</x:v>
      </x:c>
      <x:c r="E13" s="46" t="n">
        <x:f>EXP(-C13/'Sources'!$D$10)</x:f>
        <x:v>0.023417827071836744</x:v>
      </x:c>
      <x:c r="F13" s="46" t="n">
        <x:f>IF(C13=0,1,(1-EXP(-C13/'Sources'!$D$11))/(C13/'Sources'!$D$11))</x:f>
        <x:v>0.8068418964598326</x:v>
      </x:c>
      <x:c r="G13" s="46" t="n">
        <x:f>EXP(-C13/'Sources'!$D$11)</x:f>
        <x:v>0.6403192775686597</x:v>
      </x:c>
      <x:c r="H13" s="47" t="n">
        <x:f>('Sources'!$D$6+'Sources'!$D$7*D13+'Sources'!$D$8*(D13-E13)+'Sources'!$D$9*(F13-G13))/100</x:f>
        <x:v>0.051155885443228126</x:v>
      </x:c>
      <x:c r="I13" s="20" t="n">
        <x:f>-C13*H13</x:f>
        <x:v>-0.3580911981025969</x:v>
      </x:c>
      <x:c r="J13" s="20" t="n">
        <x:f>EXP(I13)</x:f>
        <x:v>0.6990093237755484</x:v>
      </x:c>
      <x:c r="K13" s="46" t="n">
        <x:f>IF(C13&lt;=30,I13,IF('Controls'!$F$14=1,I13,IF('Controls'!$F$14=2,$I$36+(C13-30)*($I$36-$I$35),-C13*$H$36)))</x:f>
        <x:v>-0.3580911981025969</x:v>
      </x:c>
      <x:c r="L13" s="48" t="n">
        <x:f>'Controls'!$F$8+N13*'Controls'!$F$9+O13*'Controls'!$F$10+P13*'Controls'!$F$11+Q13*'Controls'!$F$12+R13*'Controls'!$F$13</x:f>
        <x:v>0</x:v>
      </x:c>
      <x:c r="M13" s="20" t="n">
        <x:f>EXP(K13-C13*L13)</x:f>
        <x:v>0.6990093237755484</x:v>
      </x:c>
      <x:c r="N13" s="20" t="n">
        <x:f>IF(C13&lt;=1,1,IF(C13&lt;5,(5-C13)/4,0))</x:f>
        <x:v>0</x:v>
      </x:c>
      <x:c r="O13" s="20" t="n">
        <x:f>IF(C13&lt;=1,0,IF(C13&lt;5,(C13-1)/4,IF(C13&lt;10,(10-C13)/5,0)))</x:f>
        <x:v>0.6</x:v>
      </x:c>
      <x:c r="P13" s="20" t="n">
        <x:f>IF(C13&lt;=5,0,IF(C13&lt;10,(C13-5)/5,IF(C13&lt;20,(20-C13)/10,0)))</x:f>
        <x:v>0.4</x:v>
      </x:c>
      <x:c r="Q13" s="20" t="n">
        <x:f>IF(C13&lt;=10,0,IF(C13&lt;20,(C13-10)/10,IF(C13&lt;30,(30-C13)/10,0)))</x:f>
        <x:v>0</x:v>
      </x:c>
      <x:c r="R13" s="20" t="n">
        <x:f>IF(C13&lt;=20,0,IF(C13&lt;30,(C13-20)/10,1))</x:f>
        <x:v>0</x:v>
      </x:c>
    </x:row>
    <x:row r="14" ht="20" customHeight="1">
      <x:c r="A14" s="2"/>
      <x:c r="B14" s="2"/>
      <x:c r="C14" s="2" t="n">
        <x:v>8</x:v>
      </x:c>
      <x:c r="D14" s="46" t="n">
        <x:f>IF(C14=0,1,(1-EXP(-C14/'Sources'!$D$10))/(C14/'Sources'!$D$10))</x:f>
        <x:v>0.22987637344158923</x:v>
      </x:c>
      <x:c r="E14" s="46" t="n">
        <x:f>EXP(-C14/'Sources'!$D$10)</x:f>
        <x:v>0.013696975520833836</x:v>
      </x:c>
      <x:c r="F14" s="46" t="n">
        <x:f>IF(C14=0,1,(1-EXP(-C14/'Sources'!$D$11))/(C14/'Sources'!$D$11))</x:f>
        <x:v>0.7835311881710129</x:v>
      </x:c>
      <x:c r="G14" s="46" t="n">
        <x:f>EXP(-C14/'Sources'!$D$11)</x:f>
        <x:v>0.60081247987404</x:v>
      </x:c>
      <x:c r="H14" s="47" t="n">
        <x:f>('Sources'!$D$6+'Sources'!$D$7*D14+'Sources'!$D$8*(D14-E14)+'Sources'!$D$9*(F14-G14))/100</x:f>
        <x:v>0.051654133165416775</x:v>
      </x:c>
      <x:c r="I14" s="20" t="n">
        <x:f>-C14*H14</x:f>
        <x:v>-0.4132330653233342</x:v>
      </x:c>
      <x:c r="J14" s="20" t="n">
        <x:f>EXP(I14)</x:f>
        <x:v>0.661508090263131</x:v>
      </x:c>
      <x:c r="K14" s="46" t="n">
        <x:f>IF(C14&lt;=30,I14,IF('Controls'!$F$14=1,I14,IF('Controls'!$F$14=2,$I$36+(C14-30)*($I$36-$I$35),-C14*$H$36)))</x:f>
        <x:v>-0.4132330653233342</x:v>
      </x:c>
      <x:c r="L14" s="48" t="n">
        <x:f>'Controls'!$F$8+N14*'Controls'!$F$9+O14*'Controls'!$F$10+P14*'Controls'!$F$11+Q14*'Controls'!$F$12+R14*'Controls'!$F$13</x:f>
        <x:v>0</x:v>
      </x:c>
      <x:c r="M14" s="20" t="n">
        <x:f>EXP(K14-C14*L14)</x:f>
        <x:v>0.661508090263131</x:v>
      </x:c>
      <x:c r="N14" s="20" t="n">
        <x:f>IF(C14&lt;=1,1,IF(C14&lt;5,(5-C14)/4,0))</x:f>
        <x:v>0</x:v>
      </x:c>
      <x:c r="O14" s="20" t="n">
        <x:f>IF(C14&lt;=1,0,IF(C14&lt;5,(C14-1)/4,IF(C14&lt;10,(10-C14)/5,0)))</x:f>
        <x:v>0.4</x:v>
      </x:c>
      <x:c r="P14" s="20" t="n">
        <x:f>IF(C14&lt;=5,0,IF(C14&lt;10,(C14-5)/5,IF(C14&lt;20,(20-C14)/10,0)))</x:f>
        <x:v>0.6</x:v>
      </x:c>
      <x:c r="Q14" s="20" t="n">
        <x:f>IF(C14&lt;=10,0,IF(C14&lt;20,(C14-10)/10,IF(C14&lt;30,(30-C14)/10,0)))</x:f>
        <x:v>0</x:v>
      </x:c>
      <x:c r="R14" s="20" t="n">
        <x:f>IF(C14&lt;=20,0,IF(C14&lt;30,(C14-20)/10,1))</x:f>
        <x:v>0</x:v>
      </x:c>
    </x:row>
    <x:row r="15" ht="20" customHeight="1">
      <x:c r="A15" s="2"/>
      <x:c r="B15" s="2"/>
      <x:c r="C15" s="2" t="n">
        <x:v>9</x:v>
      </x:c>
      <x:c r="D15" s="46" t="n">
        <x:f>IF(C15=0,1,(1-EXP(-C15/'Sources'!$D$10))/(C15/'Sources'!$D$10))</x:f>
        <x:v>0.20551246888105645</x:v>
      </x:c>
      <x:c r="E15" s="46" t="n">
        <x:f>EXP(-C15/'Sources'!$D$10)</x:f>
        <x:v>0.00801129574673243</x:v>
      </x:c>
      <x:c r="F15" s="46" t="n">
        <x:f>IF(C15=0,1,(1-EXP(-C15/'Sources'!$D$11))/(C15/'Sources'!$D$11))</x:f>
        <x:v>0.7611478477483907</x:v>
      </x:c>
      <x:c r="G15" s="46" t="n">
        <x:f>EXP(-C15/'Sources'!$D$11)</x:f>
        <x:v>0.5637431959616228</x:v>
      </x:c>
      <x:c r="H15" s="47" t="n">
        <x:f>('Sources'!$D$6+'Sources'!$D$7*D15+'Sources'!$D$8*(D15-E15)+'Sources'!$D$9*(F15-G15))/100</x:f>
        <x:v>0.052223014207238044</x:v>
      </x:c>
      <x:c r="I15" s="20" t="n">
        <x:f>-C15*H15</x:f>
        <x:v>-0.4700071278651424</x:v>
      </x:c>
      <x:c r="J15" s="20" t="n">
        <x:f>EXP(I15)</x:f>
        <x:v>0.6249978133666958</x:v>
      </x:c>
      <x:c r="K15" s="46" t="n">
        <x:f>IF(C15&lt;=30,I15,IF('Controls'!$F$14=1,I15,IF('Controls'!$F$14=2,$I$36+(C15-30)*($I$36-$I$35),-C15*$H$36)))</x:f>
        <x:v>-0.4700071278651424</x:v>
      </x:c>
      <x:c r="L15" s="48" t="n">
        <x:f>'Controls'!$F$8+N15*'Controls'!$F$9+O15*'Controls'!$F$10+P15*'Controls'!$F$11+Q15*'Controls'!$F$12+R15*'Controls'!$F$13</x:f>
        <x:v>0</x:v>
      </x:c>
      <x:c r="M15" s="20" t="n">
        <x:f>EXP(K15-C15*L15)</x:f>
        <x:v>0.6249978133666958</x:v>
      </x:c>
      <x:c r="N15" s="20" t="n">
        <x:f>IF(C15&lt;=1,1,IF(C15&lt;5,(5-C15)/4,0))</x:f>
        <x:v>0</x:v>
      </x:c>
      <x:c r="O15" s="20" t="n">
        <x:f>IF(C15&lt;=1,0,IF(C15&lt;5,(C15-1)/4,IF(C15&lt;10,(10-C15)/5,0)))</x:f>
        <x:v>0.2</x:v>
      </x:c>
      <x:c r="P15" s="20" t="n">
        <x:f>IF(C15&lt;=5,0,IF(C15&lt;10,(C15-5)/5,IF(C15&lt;20,(20-C15)/10,0)))</x:f>
        <x:v>0.8</x:v>
      </x:c>
      <x:c r="Q15" s="20" t="n">
        <x:f>IF(C15&lt;=10,0,IF(C15&lt;20,(C15-10)/10,IF(C15&lt;30,(30-C15)/10,0)))</x:f>
        <x:v>0</x:v>
      </x:c>
      <x:c r="R15" s="20" t="n">
        <x:f>IF(C15&lt;=20,0,IF(C15&lt;30,(C15-20)/10,1))</x:f>
        <x:v>0</x:v>
      </x:c>
    </x:row>
    <x:row r="16" ht="20" customHeight="1">
      <x:c r="A16" s="2"/>
      <x:c r="B16" s="2"/>
      <x:c r="C16" s="2" t="n">
        <x:v>10</x:v>
      </x:c>
      <x:c r="D16" s="46" t="n">
        <x:f>IF(C16=0,1,(1-EXP(-C16/'Sources'!$D$10))/(C16/'Sources'!$D$10))</x:f>
        <x:v>0.18558128302672708</x:v>
      </x:c>
      <x:c r="E16" s="46" t="n">
        <x:f>EXP(-C16/'Sources'!$D$10)</x:f>
        <x:v>0.004685768726387124</x:v>
      </x:c>
      <x:c r="F16" s="46" t="n">
        <x:f>IF(C16=0,1,(1-EXP(-C16/'Sources'!$D$11))/(C16/'Sources'!$D$11))</x:f>
        <x:v>0.739649816844679</x:v>
      </x:c>
      <x:c r="G16" s="46" t="n">
        <x:f>EXP(-C16/'Sources'!$D$11)</x:f>
        <x:v>0.5289610346636817</x:v>
      </x:c>
      <x:c r="H16" s="47" t="n">
        <x:f>('Sources'!$D$6+'Sources'!$D$7*D16+'Sources'!$D$8*(D16-E16)+'Sources'!$D$9*(F16-G16))/100</x:f>
        <x:v>0.052835623755914975</x:v>
      </x:c>
      <x:c r="I16" s="20" t="n">
        <x:f>-C16*H16</x:f>
        <x:v>-0.5283562375591497</x:v>
      </x:c>
      <x:c r="J16" s="20" t="n">
        <x:f>EXP(I16)</x:f>
        <x:v>0.5895732920479508</x:v>
      </x:c>
      <x:c r="K16" s="46" t="n">
        <x:f>IF(C16&lt;=30,I16,IF('Controls'!$F$14=1,I16,IF('Controls'!$F$14=2,$I$36+(C16-30)*($I$36-$I$35),-C16*$H$36)))</x:f>
        <x:v>-0.5283562375591497</x:v>
      </x:c>
      <x:c r="L16" s="48" t="n">
        <x:f>'Controls'!$F$8+N16*'Controls'!$F$9+O16*'Controls'!$F$10+P16*'Controls'!$F$11+Q16*'Controls'!$F$12+R16*'Controls'!$F$13</x:f>
        <x:v>0</x:v>
      </x:c>
      <x:c r="M16" s="20" t="n">
        <x:f>EXP(K16-C16*L16)</x:f>
        <x:v>0.5895732920479508</x:v>
      </x:c>
      <x:c r="N16" s="20" t="n">
        <x:f>IF(C16&lt;=1,1,IF(C16&lt;5,(5-C16)/4,0))</x:f>
        <x:v>0</x:v>
      </x:c>
      <x:c r="O16" s="20" t="n">
        <x:f>IF(C16&lt;=1,0,IF(C16&lt;5,(C16-1)/4,IF(C16&lt;10,(10-C16)/5,0)))</x:f>
        <x:v>0</x:v>
      </x:c>
      <x:c r="P16" s="20" t="n">
        <x:f>IF(C16&lt;=5,0,IF(C16&lt;10,(C16-5)/5,IF(C16&lt;20,(20-C16)/10,0)))</x:f>
        <x:v>1</x:v>
      </x:c>
      <x:c r="Q16" s="20" t="n">
        <x:f>IF(C16&lt;=10,0,IF(C16&lt;20,(C16-10)/10,IF(C16&lt;30,(30-C16)/10,0)))</x:f>
        <x:v>0</x:v>
      </x:c>
      <x:c r="R16" s="20" t="n">
        <x:f>IF(C16&lt;=20,0,IF(C16&lt;30,(C16-20)/10,1))</x:f>
        <x:v>0</x:v>
      </x:c>
    </x:row>
    <x:row r="17" ht="20" customHeight="1">
      <x:c r="A17" s="2"/>
      <x:c r="B17" s="2"/>
      <x:c r="C17" s="2" t="n">
        <x:v>11</x:v>
      </x:c>
      <x:c r="D17" s="46" t="n">
        <x:f>IF(C17=0,1,(1-EXP(-C17/'Sources'!$D$10))/(C17/'Sources'!$D$10))</x:f>
        <x:v>0.16903995797471008</x:v>
      </x:c>
      <x:c r="E17" s="46" t="n">
        <x:f>EXP(-C17/'Sources'!$D$10)</x:f>
        <x:v>0.0027406838108732868</x:v>
      </x:c>
      <x:c r="F17" s="46" t="n">
        <x:f>IF(C17=0,1,(1-EXP(-C17/'Sources'!$D$11))/(C17/'Sources'!$D$11))</x:f>
        <x:v>0.7189970853783183</x:v>
      </x:c>
      <x:c r="G17" s="46" t="n">
        <x:f>EXP(-C17/'Sources'!$D$11)</x:f>
        <x:v>0.49632488373575034</x:v>
      </x:c>
      <x:c r="H17" s="47" t="n">
        <x:f>('Sources'!$D$6+'Sources'!$D$7*D17+'Sources'!$D$8*(D17-E17)+'Sources'!$D$9*(F17-G17))/100</x:f>
        <x:v>0.053464953897979894</x:v>
      </x:c>
      <x:c r="I17" s="20" t="n">
        <x:f>-C17*H17</x:f>
        <x:v>-0.5881144928777788</x:v>
      </x:c>
      <x:c r="J17" s="20" t="n">
        <x:f>EXP(I17)</x:f>
        <x:v>0.5553734587522553</x:v>
      </x:c>
      <x:c r="K17" s="46" t="n">
        <x:f>IF(C17&lt;=30,I17,IF('Controls'!$F$14=1,I17,IF('Controls'!$F$14=2,$I$36+(C17-30)*($I$36-$I$35),-C17*$H$36)))</x:f>
        <x:v>-0.5881144928777788</x:v>
      </x:c>
      <x:c r="L17" s="48" t="n">
        <x:f>'Controls'!$F$8+N17*'Controls'!$F$9+O17*'Controls'!$F$10+P17*'Controls'!$F$11+Q17*'Controls'!$F$12+R17*'Controls'!$F$13</x:f>
        <x:v>0</x:v>
      </x:c>
      <x:c r="M17" s="20" t="n">
        <x:f>EXP(K17-C17*L17)</x:f>
        <x:v>0.5553734587522553</x:v>
      </x:c>
      <x:c r="N17" s="20" t="n">
        <x:f>IF(C17&lt;=1,1,IF(C17&lt;5,(5-C17)/4,0))</x:f>
        <x:v>0</x:v>
      </x:c>
      <x:c r="O17" s="20" t="n">
        <x:f>IF(C17&lt;=1,0,IF(C17&lt;5,(C17-1)/4,IF(C17&lt;10,(10-C17)/5,0)))</x:f>
        <x:v>0</x:v>
      </x:c>
      <x:c r="P17" s="20" t="n">
        <x:f>IF(C17&lt;=5,0,IF(C17&lt;10,(C17-5)/5,IF(C17&lt;20,(20-C17)/10,0)))</x:f>
        <x:v>0.9</x:v>
      </x:c>
      <x:c r="Q17" s="20" t="n">
        <x:f>IF(C17&lt;=10,0,IF(C17&lt;20,(C17-10)/10,IF(C17&lt;30,(30-C17)/10,0)))</x:f>
        <x:v>0.1</x:v>
      </x:c>
      <x:c r="R17" s="20" t="n">
        <x:f>IF(C17&lt;=20,0,IF(C17&lt;30,(C17-20)/10,1))</x:f>
        <x:v>0</x:v>
      </x:c>
    </x:row>
    <x:row r="18" ht="20" customHeight="1">
      <x:c r="A18" s="2"/>
      <x:c r="B18" s="2"/>
      <x:c r="C18" s="2" t="n">
        <x:v>12</x:v>
      </x:c>
      <x:c r="D18" s="46" t="n">
        <x:f>IF(C18=0,1,(1-EXP(-C18/'Sources'!$D$10))/(C18/'Sources'!$D$10))</x:f>
        <x:v>0.1551300651365696</x:v>
      </x:c>
      <x:c r="E18" s="46" t="n">
        <x:f>EXP(-C18/'Sources'!$D$10)</x:f>
        <x:v>0.0016030129077613288</x:v>
      </x:c>
      <x:c r="F18" s="46" t="n">
        <x:f>IF(C18=0,1,(1-EXP(-C18/'Sources'!$D$11))/(C18/'Sources'!$D$11))</x:f>
        <x:v>0.6991515872258388</x:v>
      </x:c>
      <x:c r="G18" s="46" t="n">
        <x:f>EXP(-C18/'Sources'!$D$11)</x:f>
        <x:v>0.4657023373601238</x:v>
      </x:c>
      <x:c r="H18" s="47" t="n">
        <x:f>('Sources'!$D$6+'Sources'!$D$7*D18+'Sources'!$D$8*(D18-E18)+'Sources'!$D$9*(F18-G18))/100</x:f>
        <x:v>0.05408756941565393</x:v>
      </x:c>
      <x:c r="I18" s="20" t="n">
        <x:f>-C18*H18</x:f>
        <x:v>-0.6490508329878472</x:v>
      </x:c>
      <x:c r="J18" s="20" t="n">
        <x:f>EXP(I18)</x:f>
        <x:v>0.5225415206257941</x:v>
      </x:c>
      <x:c r="K18" s="46" t="n">
        <x:f>IF(C18&lt;=30,I18,IF('Controls'!$F$14=1,I18,IF('Controls'!$F$14=2,$I$36+(C18-30)*($I$36-$I$35),-C18*$H$36)))</x:f>
        <x:v>-0.6490508329878472</x:v>
      </x:c>
      <x:c r="L18" s="48" t="n">
        <x:f>'Controls'!$F$8+N18*'Controls'!$F$9+O18*'Controls'!$F$10+P18*'Controls'!$F$11+Q18*'Controls'!$F$12+R18*'Controls'!$F$13</x:f>
        <x:v>0</x:v>
      </x:c>
      <x:c r="M18" s="20" t="n">
        <x:f>EXP(K18-C18*L18)</x:f>
        <x:v>0.5225415206257941</x:v>
      </x:c>
      <x:c r="N18" s="20" t="n">
        <x:f>IF(C18&lt;=1,1,IF(C18&lt;5,(5-C18)/4,0))</x:f>
        <x:v>0</x:v>
      </x:c>
      <x:c r="O18" s="20" t="n">
        <x:f>IF(C18&lt;=1,0,IF(C18&lt;5,(C18-1)/4,IF(C18&lt;10,(10-C18)/5,0)))</x:f>
        <x:v>0</x:v>
      </x:c>
      <x:c r="P18" s="20" t="n">
        <x:f>IF(C18&lt;=5,0,IF(C18&lt;10,(C18-5)/5,IF(C18&lt;20,(20-C18)/10,0)))</x:f>
        <x:v>0.8</x:v>
      </x:c>
      <x:c r="Q18" s="20" t="n">
        <x:f>IF(C18&lt;=10,0,IF(C18&lt;20,(C18-10)/10,IF(C18&lt;30,(30-C18)/10,0)))</x:f>
        <x:v>0.2</x:v>
      </x:c>
      <x:c r="R18" s="20" t="n">
        <x:f>IF(C18&lt;=20,0,IF(C18&lt;30,(C18-20)/10,1))</x:f>
        <x:v>0</x:v>
      </x:c>
    </x:row>
    <x:row r="19" ht="20" customHeight="1">
      <x:c r="A19" s="2"/>
      <x:c r="B19" s="2"/>
      <x:c r="C19" s="2" t="n">
        <x:v>13</x:v>
      </x:c>
      <x:c r="D19" s="46" t="n">
        <x:f>IF(C19=0,1,(1-EXP(-C19/'Sources'!$D$10))/(C19/'Sources'!$D$10))</x:f>
        <x:v>0.1432924220848406</x:v>
      </x:c>
      <x:c r="E19" s="46" t="n">
        <x:f>EXP(-C19/'Sources'!$D$10)</x:f>
        <x:v>0.000937594614984296</x:v>
      </x:c>
      <x:c r="F19" s="46" t="n">
        <x:f>IF(C19=0,1,(1-EXP(-C19/'Sources'!$D$11))/(C19/'Sources'!$D$11))</x:f>
        <x:v>0.680077101390982</x:v>
      </x:c>
      <x:c r="G19" s="46" t="n">
        <x:f>EXP(-C19/'Sources'!$D$11)</x:f>
        <x:v>0.43696915897158906</x:v>
      </x:c>
      <x:c r="H19" s="47" t="n">
        <x:f>('Sources'!$D$6+'Sources'!$D$7*D19+'Sources'!$D$8*(D19-E19)+'Sources'!$D$9*(F19-G19))/100</x:f>
        <x:v>0.05468474462521158</x:v>
      </x:c>
      <x:c r="I19" s="20" t="n">
        <x:f>-C19*H19</x:f>
        <x:v>-0.7109016801277505</x:v>
      </x:c>
      <x:c r="J19" s="20" t="n">
        <x:f>EXP(I19)</x:f>
        <x:v>0.4912010914581508</x:v>
      </x:c>
      <x:c r="K19" s="46" t="n">
        <x:f>IF(C19&lt;=30,I19,IF('Controls'!$F$14=1,I19,IF('Controls'!$F$14=2,$I$36+(C19-30)*($I$36-$I$35),-C19*$H$36)))</x:f>
        <x:v>-0.7109016801277505</x:v>
      </x:c>
      <x:c r="L19" s="48" t="n">
        <x:f>'Controls'!$F$8+N19*'Controls'!$F$9+O19*'Controls'!$F$10+P19*'Controls'!$F$11+Q19*'Controls'!$F$12+R19*'Controls'!$F$13</x:f>
        <x:v>0</x:v>
      </x:c>
      <x:c r="M19" s="20" t="n">
        <x:f>EXP(K19-C19*L19)</x:f>
        <x:v>0.4912010914581508</x:v>
      </x:c>
      <x:c r="N19" s="20" t="n">
        <x:f>IF(C19&lt;=1,1,IF(C19&lt;5,(5-C19)/4,0))</x:f>
        <x:v>0</x:v>
      </x:c>
      <x:c r="O19" s="20" t="n">
        <x:f>IF(C19&lt;=1,0,IF(C19&lt;5,(C19-1)/4,IF(C19&lt;10,(10-C19)/5,0)))</x:f>
        <x:v>0</x:v>
      </x:c>
      <x:c r="P19" s="20" t="n">
        <x:f>IF(C19&lt;=5,0,IF(C19&lt;10,(C19-5)/5,IF(C19&lt;20,(20-C19)/10,0)))</x:f>
        <x:v>0.7</x:v>
      </x:c>
      <x:c r="Q19" s="20" t="n">
        <x:f>IF(C19&lt;=10,0,IF(C19&lt;20,(C19-10)/10,IF(C19&lt;30,(30-C19)/10,0)))</x:f>
        <x:v>0.3</x:v>
      </x:c>
      <x:c r="R19" s="20" t="n">
        <x:f>IF(C19&lt;=20,0,IF(C19&lt;30,(C19-20)/10,1))</x:f>
        <x:v>0</x:v>
      </x:c>
    </x:row>
    <x:row r="20" ht="20" customHeight="1">
      <x:c r="A20" s="2"/>
      <x:c r="B20" s="2"/>
      <x:c r="C20" s="2" t="n">
        <x:v>14</x:v>
      </x:c>
      <x:c r="D20" s="46" t="n">
        <x:f>IF(C20=0,1,(1-EXP(-C20/'Sources'!$D$10))/(C20/'Sources'!$D$10))</x:f>
        <x:v>0.13310908355854953</x:v>
      </x:c>
      <x:c r="E20" s="46" t="n">
        <x:f>EXP(-C20/'Sources'!$D$10)</x:f>
        <x:v>0.0005483946247664498</x:v>
      </x:c>
      <x:c r="F20" s="46" t="n">
        <x:f>IF(C20=0,1,(1-EXP(-C20/'Sources'!$D$11))/(C20/'Sources'!$D$11))</x:f>
        <x:v>0.66173915835656</x:v>
      </x:c>
      <x:c r="G20" s="46" t="n">
        <x:f>EXP(-C20/'Sources'!$D$11)</x:f>
        <x:v>0.4100087772260502</x:v>
      </x:c>
      <x:c r="H20" s="47" t="n">
        <x:f>('Sources'!$D$6+'Sources'!$D$7*D20+'Sources'!$D$8*(D20-E20)+'Sources'!$D$9*(F20-G20))/100</x:f>
        <x:v>0.05524240169621915</x:v>
      </x:c>
      <x:c r="I20" s="20" t="n">
        <x:f>-C20*H20</x:f>
        <x:v>-0.7733936237470681</x:v>
      </x:c>
      <x:c r="J20" s="20" t="n">
        <x:f>EXP(I20)</x:f>
        <x:v>0.4614444393411157</x:v>
      </x:c>
      <x:c r="K20" s="46" t="n">
        <x:f>IF(C20&lt;=30,I20,IF('Controls'!$F$14=1,I20,IF('Controls'!$F$14=2,$I$36+(C20-30)*($I$36-$I$35),-C20*$H$36)))</x:f>
        <x:v>-0.7733936237470681</x:v>
      </x:c>
      <x:c r="L20" s="48" t="n">
        <x:f>'Controls'!$F$8+N20*'Controls'!$F$9+O20*'Controls'!$F$10+P20*'Controls'!$F$11+Q20*'Controls'!$F$12+R20*'Controls'!$F$13</x:f>
        <x:v>0</x:v>
      </x:c>
      <x:c r="M20" s="20" t="n">
        <x:f>EXP(K20-C20*L20)</x:f>
        <x:v>0.4614444393411157</x:v>
      </x:c>
      <x:c r="N20" s="20" t="n">
        <x:f>IF(C20&lt;=1,1,IF(C20&lt;5,(5-C20)/4,0))</x:f>
        <x:v>0</x:v>
      </x:c>
      <x:c r="O20" s="20" t="n">
        <x:f>IF(C20&lt;=1,0,IF(C20&lt;5,(C20-1)/4,IF(C20&lt;10,(10-C20)/5,0)))</x:f>
        <x:v>0</x:v>
      </x:c>
      <x:c r="P20" s="20" t="n">
        <x:f>IF(C20&lt;=5,0,IF(C20&lt;10,(C20-5)/5,IF(C20&lt;20,(20-C20)/10,0)))</x:f>
        <x:v>0.6</x:v>
      </x:c>
      <x:c r="Q20" s="20" t="n">
        <x:f>IF(C20&lt;=10,0,IF(C20&lt;20,(C20-10)/10,IF(C20&lt;30,(30-C20)/10,0)))</x:f>
        <x:v>0.4</x:v>
      </x:c>
      <x:c r="R20" s="20" t="n">
        <x:f>IF(C20&lt;=20,0,IF(C20&lt;30,(C20-20)/10,1))</x:f>
        <x:v>0</x:v>
      </x:c>
    </x:row>
    <x:row r="21" ht="20" customHeight="1">
      <x:c r="A21" s="2"/>
      <x:c r="B21" s="2"/>
      <x:c r="C21" s="2" t="n">
        <x:v>15</x:v>
      </x:c>
      <x:c r="D21" s="46" t="n">
        <x:f>IF(C21=0,1,(1-EXP(-C21/'Sources'!$D$10))/(C21/'Sources'!$D$10))</x:f>
        <x:v>0.12426344121229849</x:v>
      </x:c>
      <x:c r="E21" s="46" t="n">
        <x:f>EXP(-C21/'Sources'!$D$10)</x:f>
        <x:v>0.00032075340415406764</x:v>
      </x:c>
      <x:c r="F21" s="46" t="n">
        <x:f>IF(C21=0,1,(1-EXP(-C21/'Sources'!$D$11))/(C21/'Sources'!$D$11))</x:f>
        <x:v>0.6441049513410827</x:v>
      </x:c>
      <x:c r="G21" s="46" t="n">
        <x:f>EXP(-C21/'Sources'!$D$11)</x:f>
        <x:v>0.38471181306718016</x:v>
      </x:c>
      <x:c r="H21" s="47" t="n">
        <x:f>('Sources'!$D$6+'Sources'!$D$7*D21+'Sources'!$D$8*(D21-E21)+'Sources'!$D$9*(F21-G21))/100</x:f>
        <x:v>0.05575054999151375</x:v>
      </x:c>
      <x:c r="I21" s="20" t="n">
        <x:f>-C21*H21</x:f>
        <x:v>-0.8362582498727062</x:v>
      </x:c>
      <x:c r="J21" s="20" t="n">
        <x:f>EXP(I21)</x:f>
        <x:v>0.43332890223141757</x:v>
      </x:c>
      <x:c r="K21" s="46" t="n">
        <x:f>IF(C21&lt;=30,I21,IF('Controls'!$F$14=1,I21,IF('Controls'!$F$14=2,$I$36+(C21-30)*($I$36-$I$35),-C21*$H$36)))</x:f>
        <x:v>-0.8362582498727062</x:v>
      </x:c>
      <x:c r="L21" s="48" t="n">
        <x:f>'Controls'!$F$8+N21*'Controls'!$F$9+O21*'Controls'!$F$10+P21*'Controls'!$F$11+Q21*'Controls'!$F$12+R21*'Controls'!$F$13</x:f>
        <x:v>0</x:v>
      </x:c>
      <x:c r="M21" s="20" t="n">
        <x:f>EXP(K21-C21*L21)</x:f>
        <x:v>0.43332890223141757</x:v>
      </x:c>
      <x:c r="N21" s="20" t="n">
        <x:f>IF(C21&lt;=1,1,IF(C21&lt;5,(5-C21)/4,0))</x:f>
        <x:v>0</x:v>
      </x:c>
      <x:c r="O21" s="20" t="n">
        <x:f>IF(C21&lt;=1,0,IF(C21&lt;5,(C21-1)/4,IF(C21&lt;10,(10-C21)/5,0)))</x:f>
        <x:v>0</x:v>
      </x:c>
      <x:c r="P21" s="20" t="n">
        <x:f>IF(C21&lt;=5,0,IF(C21&lt;10,(C21-5)/5,IF(C21&lt;20,(20-C21)/10,0)))</x:f>
        <x:v>0.5</x:v>
      </x:c>
      <x:c r="Q21" s="20" t="n">
        <x:f>IF(C21&lt;=10,0,IF(C21&lt;20,(C21-10)/10,IF(C21&lt;30,(30-C21)/10,0)))</x:f>
        <x:v>0.5</x:v>
      </x:c>
      <x:c r="R21" s="20" t="n">
        <x:f>IF(C21&lt;=20,0,IF(C21&lt;30,(C21-20)/10,1))</x:f>
        <x:v>0</x:v>
      </x:c>
    </x:row>
    <x:row r="22" ht="20" customHeight="1">
      <x:c r="A22" s="2"/>
      <x:c r="B22" s="2"/>
      <x:c r="C22" s="2" t="n">
        <x:v>16</x:v>
      </x:c>
      <x:c r="D22" s="46" t="n">
        <x:f>IF(C22=0,1,(1-EXP(-C22/'Sources'!$D$10))/(C22/'Sources'!$D$10))</x:f>
        <x:v>0.11651249225071836</x:v>
      </x:c>
      <x:c r="E22" s="46" t="n">
        <x:f>EXP(-C22/'Sources'!$D$10)</x:f>
        <x:v>0.00018760713841832133</x:v>
      </x:c>
      <x:c r="F22" s="46" t="n">
        <x:f>IF(C22=0,1,(1-EXP(-C22/'Sources'!$D$11))/(C22/'Sources'!$D$11))</x:f>
        <x:v>0.6271432521973461</x:v>
      </x:c>
      <x:c r="G22" s="46" t="n">
        <x:f>EXP(-C22/'Sources'!$D$11)</x:f>
        <x:v>0.3609756359723937</x:v>
      </x:c>
      <x:c r="H22" s="47" t="n">
        <x:f>('Sources'!$D$6+'Sources'!$D$7*D22+'Sources'!$D$8*(D22-E22)+'Sources'!$D$9*(F22-G22))/100</x:f>
        <x:v>0.056202577050417785</x:v>
      </x:c>
      <x:c r="I22" s="20" t="n">
        <x:f>-C22*H22</x:f>
        <x:v>-0.8992412328066846</x:v>
      </x:c>
      <x:c r="J22" s="20" t="n">
        <x:f>EXP(I22)</x:f>
        <x:v>0.40687826852651265</x:v>
      </x:c>
      <x:c r="K22" s="46" t="n">
        <x:f>IF(C22&lt;=30,I22,IF('Controls'!$F$14=1,I22,IF('Controls'!$F$14=2,$I$36+(C22-30)*($I$36-$I$35),-C22*$H$36)))</x:f>
        <x:v>-0.8992412328066846</x:v>
      </x:c>
      <x:c r="L22" s="48" t="n">
        <x:f>'Controls'!$F$8+N22*'Controls'!$F$9+O22*'Controls'!$F$10+P22*'Controls'!$F$11+Q22*'Controls'!$F$12+R22*'Controls'!$F$13</x:f>
        <x:v>0</x:v>
      </x:c>
      <x:c r="M22" s="20" t="n">
        <x:f>EXP(K22-C22*L22)</x:f>
        <x:v>0.40687826852651265</x:v>
      </x:c>
      <x:c r="N22" s="20" t="n">
        <x:f>IF(C22&lt;=1,1,IF(C22&lt;5,(5-C22)/4,0))</x:f>
        <x:v>0</x:v>
      </x:c>
      <x:c r="O22" s="20" t="n">
        <x:f>IF(C22&lt;=1,0,IF(C22&lt;5,(C22-1)/4,IF(C22&lt;10,(10-C22)/5,0)))</x:f>
        <x:v>0</x:v>
      </x:c>
      <x:c r="P22" s="20" t="n">
        <x:f>IF(C22&lt;=5,0,IF(C22&lt;10,(C22-5)/5,IF(C22&lt;20,(20-C22)/10,0)))</x:f>
        <x:v>0.4</x:v>
      </x:c>
      <x:c r="Q22" s="20" t="n">
        <x:f>IF(C22&lt;=10,0,IF(C22&lt;20,(C22-10)/10,IF(C22&lt;30,(30-C22)/10,0)))</x:f>
        <x:v>0.6</x:v>
      </x:c>
      <x:c r="R22" s="20" t="n">
        <x:f>IF(C22&lt;=20,0,IF(C22&lt;30,(C22-20)/10,1))</x:f>
        <x:v>0</x:v>
      </x:c>
    </x:row>
    <x:row r="23" ht="20" customHeight="1">
      <x:c r="A23" s="2"/>
      <x:c r="B23" s="2"/>
      <x:c r="C23" s="2" t="n">
        <x:v>17</x:v>
      </x:c>
      <x:c r="D23" s="46" t="n">
        <x:f>IF(C23=0,1,(1-EXP(-C23/'Sources'!$D$10))/(C23/'Sources'!$D$10))</x:f>
        <x:v>0.10966735769600726</x:v>
      </x:c>
      <x:c r="E23" s="46" t="n">
        <x:f>EXP(-C23/'Sources'!$D$10)</x:f>
        <x:v>0.00010973052173315441</x:v>
      </x:c>
      <x:c r="F23" s="46" t="n">
        <x:f>IF(C23=0,1,(1-EXP(-C23/'Sources'!$D$11))/(C23/'Sources'!$D$11))</x:f>
        <x:v>0.6108243317045053</x:v>
      </x:c>
      <x:c r="G23" s="46" t="n">
        <x:f>EXP(-C23/'Sources'!$D$11)</x:f>
        <x:v>0.33870394757781946</x:v>
      </x:c>
      <x:c r="H23" s="47" t="n">
        <x:f>('Sources'!$D$6+'Sources'!$D$7*D23+'Sources'!$D$8*(D23-E23)+'Sources'!$D$9*(F23-G23))/100</x:f>
        <x:v>0.056594555455532006</x:v>
      </x:c>
      <x:c r="I23" s="20" t="n">
        <x:f>-C23*H23</x:f>
        <x:v>-0.9621074427440441</x:v>
      </x:c>
      <x:c r="J23" s="20" t="n">
        <x:f>EXP(I23)</x:f>
        <x:v>0.3820868108177745</x:v>
      </x:c>
      <x:c r="K23" s="46" t="n">
        <x:f>IF(C23&lt;=30,I23,IF('Controls'!$F$14=1,I23,IF('Controls'!$F$14=2,$I$36+(C23-30)*($I$36-$I$35),-C23*$H$36)))</x:f>
        <x:v>-0.9621074427440441</x:v>
      </x:c>
      <x:c r="L23" s="48" t="n">
        <x:f>'Controls'!$F$8+N23*'Controls'!$F$9+O23*'Controls'!$F$10+P23*'Controls'!$F$11+Q23*'Controls'!$F$12+R23*'Controls'!$F$13</x:f>
        <x:v>0</x:v>
      </x:c>
      <x:c r="M23" s="20" t="n">
        <x:f>EXP(K23-C23*L23)</x:f>
        <x:v>0.3820868108177745</x:v>
      </x:c>
      <x:c r="N23" s="20" t="n">
        <x:f>IF(C23&lt;=1,1,IF(C23&lt;5,(5-C23)/4,0))</x:f>
        <x:v>0</x:v>
      </x:c>
      <x:c r="O23" s="20" t="n">
        <x:f>IF(C23&lt;=1,0,IF(C23&lt;5,(C23-1)/4,IF(C23&lt;10,(10-C23)/5,0)))</x:f>
        <x:v>0</x:v>
      </x:c>
      <x:c r="P23" s="20" t="n">
        <x:f>IF(C23&lt;=5,0,IF(C23&lt;10,(C23-5)/5,IF(C23&lt;20,(20-C23)/10,0)))</x:f>
        <x:v>0.3</x:v>
      </x:c>
      <x:c r="Q23" s="20" t="n">
        <x:f>IF(C23&lt;=10,0,IF(C23&lt;20,(C23-10)/10,IF(C23&lt;30,(30-C23)/10,0)))</x:f>
        <x:v>0.7</x:v>
      </x:c>
      <x:c r="R23" s="20" t="n">
        <x:f>IF(C23&lt;=20,0,IF(C23&lt;30,(C23-20)/10,1))</x:f>
        <x:v>0</x:v>
      </x:c>
    </x:row>
    <x:row r="24" ht="20" customHeight="1">
      <x:c r="A24" s="2"/>
      <x:c r="B24" s="2"/>
      <x:c r="C24" s="2" t="n">
        <x:v>18</x:v>
      </x:c>
      <x:c r="D24" s="46" t="n">
        <x:f>IF(C24=0,1,(1-EXP(-C24/'Sources'!$D$10))/(C24/'Sources'!$D$10))</x:f>
        <x:v>0.10357944502445188</x:v>
      </x:c>
      <x:c r="E24" s="46" t="n">
        <x:f>EXP(-C24/'Sources'!$D$10)</x:f>
        <x:v>0.00006418085954161312</x:v>
      </x:c>
      <x:c r="F24" s="46" t="n">
        <x:f>IF(C24=0,1,(1-EXP(-C24/'Sources'!$D$11))/(C24/'Sources'!$D$11))</x:f>
        <x:v>0.5951198840186896</x:v>
      </x:c>
      <x:c r="G24" s="46" t="n">
        <x:f>EXP(-C24/'Sources'!$D$11)</x:f>
        <x:v>0.31780639099302466</x:v>
      </x:c>
      <x:c r="H24" s="47" t="n">
        <x:f>('Sources'!$D$6+'Sources'!$D$7*D24+'Sources'!$D$8*(D24-E24)+'Sources'!$D$9*(F24-G24))/100</x:f>
        <x:v>0.056924632958001944</x:v>
      </x:c>
      <x:c r="I24" s="20" t="n">
        <x:f>-C24*H24</x:f>
        <x:v>-1.024643393244035</x:v>
      </x:c>
      <x:c r="J24" s="20" t="n">
        <x:f>EXP(I24)</x:f>
        <x:v>0.3589244374660261</x:v>
      </x:c>
      <x:c r="K24" s="46" t="n">
        <x:f>IF(C24&lt;=30,I24,IF('Controls'!$F$14=1,I24,IF('Controls'!$F$14=2,$I$36+(C24-30)*($I$36-$I$35),-C24*$H$36)))</x:f>
        <x:v>-1.024643393244035</x:v>
      </x:c>
      <x:c r="L24" s="48" t="n">
        <x:f>'Controls'!$F$8+N24*'Controls'!$F$9+O24*'Controls'!$F$10+P24*'Controls'!$F$11+Q24*'Controls'!$F$12+R24*'Controls'!$F$13</x:f>
        <x:v>0</x:v>
      </x:c>
      <x:c r="M24" s="20" t="n">
        <x:f>EXP(K24-C24*L24)</x:f>
        <x:v>0.3589244374660261</x:v>
      </x:c>
      <x:c r="N24" s="20" t="n">
        <x:f>IF(C24&lt;=1,1,IF(C24&lt;5,(5-C24)/4,0))</x:f>
        <x:v>0</x:v>
      </x:c>
      <x:c r="O24" s="20" t="n">
        <x:f>IF(C24&lt;=1,0,IF(C24&lt;5,(C24-1)/4,IF(C24&lt;10,(10-C24)/5,0)))</x:f>
        <x:v>0</x:v>
      </x:c>
      <x:c r="P24" s="20" t="n">
        <x:f>IF(C24&lt;=5,0,IF(C24&lt;10,(C24-5)/5,IF(C24&lt;20,(20-C24)/10,0)))</x:f>
        <x:v>0.2</x:v>
      </x:c>
      <x:c r="Q24" s="20" t="n">
        <x:f>IF(C24&lt;=10,0,IF(C24&lt;20,(C24-10)/10,IF(C24&lt;30,(30-C24)/10,0)))</x:f>
        <x:v>0.8</x:v>
      </x:c>
      <x:c r="R24" s="20" t="n">
        <x:f>IF(C24&lt;=20,0,IF(C24&lt;30,(C24-20)/10,1))</x:f>
        <x:v>0</x:v>
      </x:c>
    </x:row>
    <x:row r="25" ht="20" customHeight="1">
      <x:c r="A25" s="2"/>
      <x:c r="B25" s="2"/>
      <x:c r="C25" s="2" t="n">
        <x:v>19</x:v>
      </x:c>
      <x:c r="D25" s="46" t="n">
        <x:f>IF(C25=0,1,(1-EXP(-C25/'Sources'!$D$10))/(C25/'Sources'!$D$10))</x:f>
        <x:v>0.09813050975596631</x:v>
      </x:c>
      <x:c r="E25" s="46" t="n">
        <x:f>EXP(-C25/'Sources'!$D$10)</x:f>
        <x:v>0.000037539079067876996</x:v>
      </x:c>
      <x:c r="F25" s="46" t="n">
        <x:f>IF(C25=0,1,(1-EXP(-C25/'Sources'!$D$11))/(C25/'Sources'!$D$11))</x:f>
        <x:v>0.58000295506</x:v>
      </x:c>
      <x:c r="G25" s="46" t="n">
        <x:f>EXP(-C25/'Sources'!$D$11)</x:f>
        <x:v>0.29819818422047073</x:v>
      </x:c>
      <x:c r="H25" s="47" t="n">
        <x:f>('Sources'!$D$6+'Sources'!$D$7*D25+'Sources'!$D$8*(D25-E25)+'Sources'!$D$9*(F25-G25))/100</x:f>
        <x:v>0.0571925249722382</x:v>
      </x:c>
      <x:c r="I25" s="20" t="n">
        <x:f>-C25*H25</x:f>
        <x:v>-1.0866579744725258</x:v>
      </x:c>
      <x:c r="J25" s="20" t="n">
        <x:f>EXP(I25)</x:f>
        <x:v>0.33734201752853754</x:v>
      </x:c>
      <x:c r="K25" s="46" t="n">
        <x:f>IF(C25&lt;=30,I25,IF('Controls'!$F$14=1,I25,IF('Controls'!$F$14=2,$I$36+(C25-30)*($I$36-$I$35),-C25*$H$36)))</x:f>
        <x:v>-1.0866579744725258</x:v>
      </x:c>
      <x:c r="L25" s="48" t="n">
        <x:f>'Controls'!$F$8+N25*'Controls'!$F$9+O25*'Controls'!$F$10+P25*'Controls'!$F$11+Q25*'Controls'!$F$12+R25*'Controls'!$F$13</x:f>
        <x:v>0</x:v>
      </x:c>
      <x:c r="M25" s="20" t="n">
        <x:f>EXP(K25-C25*L25)</x:f>
        <x:v>0.33734201752853754</x:v>
      </x:c>
      <x:c r="N25" s="20" t="n">
        <x:f>IF(C25&lt;=1,1,IF(C25&lt;5,(5-C25)/4,0))</x:f>
        <x:v>0</x:v>
      </x:c>
      <x:c r="O25" s="20" t="n">
        <x:f>IF(C25&lt;=1,0,IF(C25&lt;5,(C25-1)/4,IF(C25&lt;10,(10-C25)/5,0)))</x:f>
        <x:v>0</x:v>
      </x:c>
      <x:c r="P25" s="20" t="n">
        <x:f>IF(C25&lt;=5,0,IF(C25&lt;10,(C25-5)/5,IF(C25&lt;20,(20-C25)/10,0)))</x:f>
        <x:v>0.1</x:v>
      </x:c>
      <x:c r="Q25" s="20" t="n">
        <x:f>IF(C25&lt;=10,0,IF(C25&lt;20,(C25-10)/10,IF(C25&lt;30,(30-C25)/10,0)))</x:f>
        <x:v>0.9</x:v>
      </x:c>
      <x:c r="R25" s="20" t="n">
        <x:f>IF(C25&lt;=20,0,IF(C25&lt;30,(C25-20)/10,1))</x:f>
        <x:v>0</x:v>
      </x:c>
    </x:row>
    <x:row r="26" ht="20" customHeight="1">
      <x:c r="A26" s="2"/>
      <x:c r="B26" s="2"/>
      <x:c r="C26" s="2" t="n">
        <x:v>20</x:v>
      </x:c>
      <x:c r="D26" s="46" t="n">
        <x:f>IF(C26=0,1,(1-EXP(-C26/'Sources'!$D$10))/(C26/'Sources'!$D$10))</x:f>
        <x:v>0.09322543699946827</x:v>
      </x:c>
      <x:c r="E26" s="46" t="n">
        <x:f>EXP(-C26/'Sources'!$D$10)</x:f>
        <x:v>0.000021956428557187606</x:v>
      </x:c>
      <x:c r="F26" s="46" t="n">
        <x:f>IF(C26=0,1,(1-EXP(-C26/'Sources'!$D$11))/(C26/'Sources'!$D$11))</x:f>
        <x:v>0.5654478746258216</x:v>
      </x:c>
      <x:c r="G26" s="46" t="n">
        <x:f>EXP(-C26/'Sources'!$D$11)</x:f>
        <x:v>0.27979977619247276</x:v>
      </x:c>
      <x:c r="H26" s="47" t="n">
        <x:f>('Sources'!$D$6+'Sources'!$D$7*D26+'Sources'!$D$8*(D26-E26)+'Sources'!$D$9*(F26-G26))/100</x:f>
        <x:v>0.057399106156807454</x:v>
      </x:c>
      <x:c r="I26" s="20" t="n">
        <x:f>-C26*H26</x:f>
        <x:v>-1.1479821231361491</x:v>
      </x:c>
      <x:c r="J26" s="20" t="n">
        <x:f>EXP(I26)</x:f>
        <x:v>0.31727634846913066</x:v>
      </x:c>
      <x:c r="K26" s="46" t="n">
        <x:f>IF(C26&lt;=30,I26,IF('Controls'!$F$14=1,I26,IF('Controls'!$F$14=2,$I$36+(C26-30)*($I$36-$I$35),-C26*$H$36)))</x:f>
        <x:v>-1.1479821231361491</x:v>
      </x:c>
      <x:c r="L26" s="48" t="n">
        <x:f>'Controls'!$F$8+N26*'Controls'!$F$9+O26*'Controls'!$F$10+P26*'Controls'!$F$11+Q26*'Controls'!$F$12+R26*'Controls'!$F$13</x:f>
        <x:v>0</x:v>
      </x:c>
      <x:c r="M26" s="20" t="n">
        <x:f>EXP(K26-C26*L26)</x:f>
        <x:v>0.31727634846913066</x:v>
      </x:c>
      <x:c r="N26" s="20" t="n">
        <x:f>IF(C26&lt;=1,1,IF(C26&lt;5,(5-C26)/4,0))</x:f>
        <x:v>0</x:v>
      </x:c>
      <x:c r="O26" s="20" t="n">
        <x:f>IF(C26&lt;=1,0,IF(C26&lt;5,(C26-1)/4,IF(C26&lt;10,(10-C26)/5,0)))</x:f>
        <x:v>0</x:v>
      </x:c>
      <x:c r="P26" s="20" t="n">
        <x:f>IF(C26&lt;=5,0,IF(C26&lt;10,(C26-5)/5,IF(C26&lt;20,(20-C26)/10,0)))</x:f>
        <x:v>0</x:v>
      </x:c>
      <x:c r="Q26" s="20" t="n">
        <x:f>IF(C26&lt;=10,0,IF(C26&lt;20,(C26-10)/10,IF(C26&lt;30,(30-C26)/10,0)))</x:f>
        <x:v>1</x:v>
      </x:c>
      <x:c r="R26" s="20" t="n">
        <x:f>IF(C26&lt;=20,0,IF(C26&lt;30,(C26-20)/10,1))</x:f>
        <x:v>0</x:v>
      </x:c>
    </x:row>
    <x:row r="27" ht="20" customHeight="1">
      <x:c r="A27" s="2"/>
      <x:c r="B27" s="2"/>
      <x:c r="C27" s="2" t="n">
        <x:v>21</x:v>
      </x:c>
      <x:c r="D27" s="46" t="n">
        <x:f>IF(C27=0,1,(1-EXP(-C27/'Sources'!$D$10))/(C27/'Sources'!$D$10))</x:f>
        <x:v>0.08878693970960644</x:v>
      </x:c>
      <x:c r="E27" s="46" t="n">
        <x:f>EXP(-C27/'Sources'!$D$10)</x:f>
        <x:v>0.000012842210489905518</x:v>
      </x:c>
      <x:c r="F27" s="46" t="n">
        <x:f>IF(C27=0,1,(1-EXP(-C27/'Sources'!$D$11))/(C27/'Sources'!$D$11))</x:f>
        <x:v>0.5514301920317879</x:v>
      </x:c>
      <x:c r="G27" s="46" t="n">
        <x:f>EXP(-C27/'Sources'!$D$11)</x:f>
        <x:v>0.26253652403019406</x:v>
      </x:c>
      <x:c r="H27" s="47" t="n">
        <x:f>('Sources'!$D$6+'Sources'!$D$7*D27+'Sources'!$D$8*(D27-E27)+'Sources'!$D$9*(F27-G27))/100</x:f>
        <x:v>0.05754608878394417</x:v>
      </x:c>
      <x:c r="I27" s="20" t="n">
        <x:f>-C27*H27</x:f>
        <x:v>-1.2084678644628275</x:v>
      </x:c>
      <x:c r="J27" s="20" t="n">
        <x:f>EXP(I27)</x:f>
        <x:v>0.2986545082576148</x:v>
      </x:c>
      <x:c r="K27" s="46" t="n">
        <x:f>IF(C27&lt;=30,I27,IF('Controls'!$F$14=1,I27,IF('Controls'!$F$14=2,$I$36+(C27-30)*($I$36-$I$35),-C27*$H$36)))</x:f>
        <x:v>-1.2084678644628275</x:v>
      </x:c>
      <x:c r="L27" s="48" t="n">
        <x:f>'Controls'!$F$8+N27*'Controls'!$F$9+O27*'Controls'!$F$10+P27*'Controls'!$F$11+Q27*'Controls'!$F$12+R27*'Controls'!$F$13</x:f>
        <x:v>0</x:v>
      </x:c>
      <x:c r="M27" s="20" t="n">
        <x:f>EXP(K27-C27*L27)</x:f>
        <x:v>0.2986545082576148</x:v>
      </x:c>
      <x:c r="N27" s="20" t="n">
        <x:f>IF(C27&lt;=1,1,IF(C27&lt;5,(5-C27)/4,0))</x:f>
        <x:v>0</x:v>
      </x:c>
      <x:c r="O27" s="20" t="n">
        <x:f>IF(C27&lt;=1,0,IF(C27&lt;5,(C27-1)/4,IF(C27&lt;10,(10-C27)/5,0)))</x:f>
        <x:v>0</x:v>
      </x:c>
      <x:c r="P27" s="20" t="n">
        <x:f>IF(C27&lt;=5,0,IF(C27&lt;10,(C27-5)/5,IF(C27&lt;20,(20-C27)/10,0)))</x:f>
        <x:v>0</x:v>
      </x:c>
      <x:c r="Q27" s="20" t="n">
        <x:f>IF(C27&lt;=10,0,IF(C27&lt;20,(C27-10)/10,IF(C27&lt;30,(30-C27)/10,0)))</x:f>
        <x:v>0.9</x:v>
      </x:c>
      <x:c r="R27" s="20" t="n">
        <x:f>IF(C27&lt;=20,0,IF(C27&lt;30,(C27-20)/10,1))</x:f>
        <x:v>0.1</x:v>
      </x:c>
    </x:row>
    <x:row r="28" ht="20" customHeight="1">
      <x:c r="A28" s="2"/>
      <x:c r="B28" s="2"/>
      <x:c r="C28" s="2" t="n">
        <x:v>22</x:v>
      </x:c>
      <x:c r="D28" s="46" t="n">
        <x:f>IF(C28=0,1,(1-EXP(-C28/'Sources'!$D$10))/(C28/'Sources'!$D$10))</x:f>
        <x:v>0.08475162152546104</x:v>
      </x:c>
      <x:c r="E28" s="46" t="n">
        <x:f>EXP(-C28/'Sources'!$D$10)</x:f>
        <x:v>0.000007511347751182921</x:v>
      </x:c>
      <x:c r="F28" s="46" t="n">
        <x:f>IF(C28=0,1,(1-EXP(-C28/'Sources'!$D$11))/(C28/'Sources'!$D$11))</x:f>
        <x:v>0.5379266150925277</x:v>
      </x:c>
      <x:c r="G28" s="46" t="n">
        <x:f>EXP(-C28/'Sources'!$D$11)</x:f>
        <x:v>0.2463383902153061</x:v>
      </x:c>
      <x:c r="H28" s="47" t="n">
        <x:f>('Sources'!$D$6+'Sources'!$D$7*D28+'Sources'!$D$8*(D28-E28)+'Sources'!$D$9*(F28-G28))/100</x:f>
        <x:v>0.05763577320549652</x:v>
      </x:c>
      <x:c r="I28" s="20" t="n">
        <x:f>-C28*H28</x:f>
        <x:v>-1.2679870105209234</x:v>
      </x:c>
      <x:c r="J28" s="20" t="n">
        <x:f>EXP(I28)</x:f>
        <x:v>0.2813975022430376</x:v>
      </x:c>
      <x:c r="K28" s="46" t="n">
        <x:f>IF(C28&lt;=30,I28,IF('Controls'!$F$14=1,I28,IF('Controls'!$F$14=2,$I$36+(C28-30)*($I$36-$I$35),-C28*$H$36)))</x:f>
        <x:v>-1.2679870105209234</x:v>
      </x:c>
      <x:c r="L28" s="48" t="n">
        <x:f>'Controls'!$F$8+N28*'Controls'!$F$9+O28*'Controls'!$F$10+P28*'Controls'!$F$11+Q28*'Controls'!$F$12+R28*'Controls'!$F$13</x:f>
        <x:v>0</x:v>
      </x:c>
      <x:c r="M28" s="20" t="n">
        <x:f>EXP(K28-C28*L28)</x:f>
        <x:v>0.2813975022430376</x:v>
      </x:c>
      <x:c r="N28" s="20" t="n">
        <x:f>IF(C28&lt;=1,1,IF(C28&lt;5,(5-C28)/4,0))</x:f>
        <x:v>0</x:v>
      </x:c>
      <x:c r="O28" s="20" t="n">
        <x:f>IF(C28&lt;=1,0,IF(C28&lt;5,(C28-1)/4,IF(C28&lt;10,(10-C28)/5,0)))</x:f>
        <x:v>0</x:v>
      </x:c>
      <x:c r="P28" s="20" t="n">
        <x:f>IF(C28&lt;=5,0,IF(C28&lt;10,(C28-5)/5,IF(C28&lt;20,(20-C28)/10,0)))</x:f>
        <x:v>0</x:v>
      </x:c>
      <x:c r="Q28" s="20" t="n">
        <x:f>IF(C28&lt;=10,0,IF(C28&lt;20,(C28-10)/10,IF(C28&lt;30,(30-C28)/10,0)))</x:f>
        <x:v>0.8</x:v>
      </x:c>
      <x:c r="R28" s="20" t="n">
        <x:f>IF(C28&lt;=20,0,IF(C28&lt;30,(C28-20)/10,1))</x:f>
        <x:v>0.2</x:v>
      </x:c>
    </x:row>
    <x:row r="29" ht="20" customHeight="1">
      <x:c r="A29" s="2"/>
      <x:c r="B29" s="2"/>
      <x:c r="C29" s="2" t="n">
        <x:v>23</x:v>
      </x:c>
      <x:c r="D29" s="46" t="n">
        <x:f>IF(C29=0,1,(1-EXP(-C29/'Sources'!$D$10))/(C29/'Sources'!$D$10))</x:f>
        <x:v>0.081067021183435</x:v>
      </x:c>
      <x:c r="E29" s="46" t="n">
        <x:f>EXP(-C29/'Sources'!$D$10)</x:f>
        <x:v>0.000004393351524922391</x:v>
      </x:c>
      <x:c r="F29" s="46" t="n">
        <x:f>IF(C29=0,1,(1-EXP(-C29/'Sources'!$D$11))/(C29/'Sources'!$D$11))</x:f>
        <x:v>0.5249149522645156</x:v>
      </x:c>
      <x:c r="G29" s="46" t="n">
        <x:f>EXP(-C29/'Sources'!$D$11)</x:f>
        <x:v>0.2311396584457306</x:v>
      </x:c>
      <x:c r="H29" s="47" t="n">
        <x:f>('Sources'!$D$6+'Sources'!$D$7*D29+'Sources'!$D$8*(D29-E29)+'Sources'!$D$9*(F29-G29))/100</x:f>
        <x:v>0.057670856364136436</x:v>
      </x:c>
      <x:c r="I29" s="20" t="n">
        <x:f>-C29*H29</x:f>
        <x:v>-1.326429696375138</x:v>
      </x:c>
      <x:c r="J29" s="20" t="n">
        <x:f>EXP(I29)</x:f>
        <x:v>0.26542321308724165</x:v>
      </x:c>
      <x:c r="K29" s="46" t="n">
        <x:f>IF(C29&lt;=30,I29,IF('Controls'!$F$14=1,I29,IF('Controls'!$F$14=2,$I$36+(C29-30)*($I$36-$I$35),-C29*$H$36)))</x:f>
        <x:v>-1.326429696375138</x:v>
      </x:c>
      <x:c r="L29" s="48" t="n">
        <x:f>'Controls'!$F$8+N29*'Controls'!$F$9+O29*'Controls'!$F$10+P29*'Controls'!$F$11+Q29*'Controls'!$F$12+R29*'Controls'!$F$13</x:f>
        <x:v>0</x:v>
      </x:c>
      <x:c r="M29" s="20" t="n">
        <x:f>EXP(K29-C29*L29)</x:f>
        <x:v>0.26542321308724165</x:v>
      </x:c>
      <x:c r="N29" s="20" t="n">
        <x:f>IF(C29&lt;=1,1,IF(C29&lt;5,(5-C29)/4,0))</x:f>
        <x:v>0</x:v>
      </x:c>
      <x:c r="O29" s="20" t="n">
        <x:f>IF(C29&lt;=1,0,IF(C29&lt;5,(C29-1)/4,IF(C29&lt;10,(10-C29)/5,0)))</x:f>
        <x:v>0</x:v>
      </x:c>
      <x:c r="P29" s="20" t="n">
        <x:f>IF(C29&lt;=5,0,IF(C29&lt;10,(C29-5)/5,IF(C29&lt;20,(20-C29)/10,0)))</x:f>
        <x:v>0</x:v>
      </x:c>
      <x:c r="Q29" s="20" t="n">
        <x:f>IF(C29&lt;=10,0,IF(C29&lt;20,(C29-10)/10,IF(C29&lt;30,(30-C29)/10,0)))</x:f>
        <x:v>0.7</x:v>
      </x:c>
      <x:c r="R29" s="20" t="n">
        <x:f>IF(C29&lt;=20,0,IF(C29&lt;30,(C29-20)/10,1))</x:f>
        <x:v>0.3</x:v>
      </x:c>
    </x:row>
    <x:row r="30" ht="20" customHeight="1">
      <x:c r="A30" s="2"/>
      <x:c r="B30" s="2"/>
      <x:c r="C30" s="2" t="n">
        <x:v>24</x:v>
      </x:c>
      <x:c r="D30" s="46" t="n">
        <x:f>IF(C30=0,1,(1-EXP(-C30/'Sources'!$D$10))/(C30/'Sources'!$D$10))</x:f>
        <x:v>0.07768937031668269</x:v>
      </x:c>
      <x:c r="E30" s="46" t="n">
        <x:f>EXP(-C30/'Sources'!$D$10)</x:f>
        <x:v>0.00000256965038244943</x:v>
      </x:c>
      <x:c r="F30" s="46" t="n">
        <x:f>IF(C30=0,1,(1-EXP(-C30/'Sources'!$D$11))/(C30/'Sources'!$D$11))</x:f>
        <x:v>0.5123740577829763</x:v>
      </x:c>
      <x:c r="G30" s="46" t="n">
        <x:f>EXP(-C30/'Sources'!$D$11)</x:f>
        <x:v>0.21687866702268255</x:v>
      </x:c>
      <x:c r="H30" s="47" t="n">
        <x:f>('Sources'!$D$6+'Sources'!$D$7*D30+'Sources'!$D$8*(D30-E30)+'Sources'!$D$9*(F30-G30))/100</x:f>
        <x:v>0.05765428613199277</x:v>
      </x:c>
      <x:c r="I30" s="20" t="n">
        <x:f>-C30*H30</x:f>
        <x:v>-1.3837028671678264</x:v>
      </x:c>
      <x:c r="J30" s="20" t="n">
        <x:f>EXP(I30)</x:f>
        <x:v>0.2506487136937683</x:v>
      </x:c>
      <x:c r="K30" s="46" t="n">
        <x:f>IF(C30&lt;=30,I30,IF('Controls'!$F$14=1,I30,IF('Controls'!$F$14=2,$I$36+(C30-30)*($I$36-$I$35),-C30*$H$36)))</x:f>
        <x:v>-1.3837028671678264</x:v>
      </x:c>
      <x:c r="L30" s="48" t="n">
        <x:f>'Controls'!$F$8+N30*'Controls'!$F$9+O30*'Controls'!$F$10+P30*'Controls'!$F$11+Q30*'Controls'!$F$12+R30*'Controls'!$F$13</x:f>
        <x:v>0</x:v>
      </x:c>
      <x:c r="M30" s="20" t="n">
        <x:f>EXP(K30-C30*L30)</x:f>
        <x:v>0.2506487136937683</x:v>
      </x:c>
      <x:c r="N30" s="20" t="n">
        <x:f>IF(C30&lt;=1,1,IF(C30&lt;5,(5-C30)/4,0))</x:f>
        <x:v>0</x:v>
      </x:c>
      <x:c r="O30" s="20" t="n">
        <x:f>IF(C30&lt;=1,0,IF(C30&lt;5,(C30-1)/4,IF(C30&lt;10,(10-C30)/5,0)))</x:f>
        <x:v>0</x:v>
      </x:c>
      <x:c r="P30" s="20" t="n">
        <x:f>IF(C30&lt;=5,0,IF(C30&lt;10,(C30-5)/5,IF(C30&lt;20,(20-C30)/10,0)))</x:f>
        <x:v>0</x:v>
      </x:c>
      <x:c r="Q30" s="20" t="n">
        <x:f>IF(C30&lt;=10,0,IF(C30&lt;20,(C30-10)/10,IF(C30&lt;30,(30-C30)/10,0)))</x:f>
        <x:v>0.6</x:v>
      </x:c>
      <x:c r="R30" s="20" t="n">
        <x:f>IF(C30&lt;=20,0,IF(C30&lt;30,(C30-20)/10,1))</x:f>
        <x:v>0.4</x:v>
      </x:c>
    </x:row>
    <x:row r="31" ht="20" customHeight="1">
      <x:c r="A31" s="2"/>
      <x:c r="B31" s="2"/>
      <x:c r="C31" s="2" t="n">
        <x:v>25</x:v>
      </x:c>
      <x:c r="D31" s="46" t="n">
        <x:f>IF(C31=0,1,(1-EXP(-C31/'Sources'!$D$10))/(C31/'Sources'!$D$10))</x:f>
        <x:v>0.07458187505869032</x:v>
      </x:c>
      <x:c r="E31" s="46" t="n">
        <x:f>EXP(-C31/'Sources'!$D$10)</x:f>
        <x:v>0.00000150297627006734</x:v>
      </x:c>
      <x:c r="F31" s="46" t="n">
        <x:f>IF(C31=0,1,(1-EXP(-C31/'Sources'!$D$11))/(C31/'Sources'!$D$11))</x:f>
        <x:v>0.5002837796338993</x:v>
      </x:c>
      <x:c r="G31" s="46" t="n">
        <x:f>EXP(-C31/'Sources'!$D$11)</x:f>
        <x:v>0.20349755868735653</x:v>
      </x:c>
      <x:c r="H31" s="47" t="n">
        <x:f>('Sources'!$D$6+'Sources'!$D$7*D31+'Sources'!$D$8*(D31-E31)+'Sources'!$D$9*(F31-G31))/100</x:f>
        <x:v>0.05758915138013974</x:v>
      </x:c>
      <x:c r="I31" s="20" t="n">
        <x:f>-C31*H31</x:f>
        <x:v>-1.4397287845034934</x:v>
      </x:c>
      <x:c r="J31" s="20" t="n">
        <x:f>EXP(I31)</x:f>
        <x:v>0.2369920258765645</x:v>
      </x:c>
      <x:c r="K31" s="46" t="n">
        <x:f>IF(C31&lt;=30,I31,IF('Controls'!$F$14=1,I31,IF('Controls'!$F$14=2,$I$36+(C31-30)*($I$36-$I$35),-C31*$H$36)))</x:f>
        <x:v>-1.4397287845034934</x:v>
      </x:c>
      <x:c r="L31" s="48" t="n">
        <x:f>'Controls'!$F$8+N31*'Controls'!$F$9+O31*'Controls'!$F$10+P31*'Controls'!$F$11+Q31*'Controls'!$F$12+R31*'Controls'!$F$13</x:f>
        <x:v>0</x:v>
      </x:c>
      <x:c r="M31" s="20" t="n">
        <x:f>EXP(K31-C31*L31)</x:f>
        <x:v>0.2369920258765645</x:v>
      </x:c>
      <x:c r="N31" s="20" t="n">
        <x:f>IF(C31&lt;=1,1,IF(C31&lt;5,(5-C31)/4,0))</x:f>
        <x:v>0</x:v>
      </x:c>
      <x:c r="O31" s="20" t="n">
        <x:f>IF(C31&lt;=1,0,IF(C31&lt;5,(C31-1)/4,IF(C31&lt;10,(10-C31)/5,0)))</x:f>
        <x:v>0</x:v>
      </x:c>
      <x:c r="P31" s="20" t="n">
        <x:f>IF(C31&lt;=5,0,IF(C31&lt;10,(C31-5)/5,IF(C31&lt;20,(20-C31)/10,0)))</x:f>
        <x:v>0</x:v>
      </x:c>
      <x:c r="Q31" s="20" t="n">
        <x:f>IF(C31&lt;=10,0,IF(C31&lt;20,(C31-10)/10,IF(C31&lt;30,(30-C31)/10,0)))</x:f>
        <x:v>0.5</x:v>
      </x:c>
      <x:c r="R31" s="20" t="n">
        <x:f>IF(C31&lt;=20,0,IF(C31&lt;30,(C31-20)/10,1))</x:f>
        <x:v>0.5</x:v>
      </x:c>
    </x:row>
    <x:row r="32" ht="20" customHeight="1">
      <x:c r="A32" s="2"/>
      <x:c r="B32" s="2"/>
      <x:c r="C32" s="2" t="n">
        <x:v>26</x:v>
      </x:c>
      <x:c r="D32" s="46" t="n">
        <x:f>IF(C32=0,1,(1-EXP(-C32/'Sources'!$D$10))/(C32/'Sources'!$D$10))</x:f>
        <x:v>0.0717133861440777</x:v>
      </x:c>
      <x:c r="E32" s="46" t="n">
        <x:f>EXP(-C32/'Sources'!$D$10)</x:f>
        <x:v>8.790836620475504e-7</x:v>
      </x:c>
      <x:c r="F32" s="46" t="n">
        <x:f>IF(C32=0,1,(1-EXP(-C32/'Sources'!$D$11))/(C32/'Sources'!$D$11))</x:f>
        <x:v>0.4886249102108178</x:v>
      </x:c>
      <x:c r="G32" s="46" t="n">
        <x:f>EXP(-C32/'Sources'!$D$11)</x:f>
        <x:v>0.1909420458923379</x:v>
      </x:c>
      <x:c r="H32" s="47" t="n">
        <x:f>('Sources'!$D$6+'Sources'!$D$7*D32+'Sources'!$D$8*(D32-E32)+'Sources'!$D$9*(F32-G32))/100</x:f>
        <x:v>0.05747859968276375</x:v>
      </x:c>
      <x:c r="I32" s="20" t="n">
        <x:f>-C32*H32</x:f>
        <x:v>-1.4944435917518575</x:v>
      </x:c>
      <x:c r="J32" s="20" t="n">
        <x:f>EXP(I32)</x:f>
        <x:v>0.2243734132228592</x:v>
      </x:c>
      <x:c r="K32" s="46" t="n">
        <x:f>IF(C32&lt;=30,I32,IF('Controls'!$F$14=1,I32,IF('Controls'!$F$14=2,$I$36+(C32-30)*($I$36-$I$35),-C32*$H$36)))</x:f>
        <x:v>-1.4944435917518575</x:v>
      </x:c>
      <x:c r="L32" s="48" t="n">
        <x:f>'Controls'!$F$8+N32*'Controls'!$F$9+O32*'Controls'!$F$10+P32*'Controls'!$F$11+Q32*'Controls'!$F$12+R32*'Controls'!$F$13</x:f>
        <x:v>0</x:v>
      </x:c>
      <x:c r="M32" s="20" t="n">
        <x:f>EXP(K32-C32*L32)</x:f>
        <x:v>0.2243734132228592</x:v>
      </x:c>
      <x:c r="N32" s="20" t="n">
        <x:f>IF(C32&lt;=1,1,IF(C32&lt;5,(5-C32)/4,0))</x:f>
        <x:v>0</x:v>
      </x:c>
      <x:c r="O32" s="20" t="n">
        <x:f>IF(C32&lt;=1,0,IF(C32&lt;5,(C32-1)/4,IF(C32&lt;10,(10-C32)/5,0)))</x:f>
        <x:v>0</x:v>
      </x:c>
      <x:c r="P32" s="20" t="n">
        <x:f>IF(C32&lt;=5,0,IF(C32&lt;10,(C32-5)/5,IF(C32&lt;20,(20-C32)/10,0)))</x:f>
        <x:v>0</x:v>
      </x:c>
      <x:c r="Q32" s="20" t="n">
        <x:f>IF(C32&lt;=10,0,IF(C32&lt;20,(C32-10)/10,IF(C32&lt;30,(30-C32)/10,0)))</x:f>
        <x:v>0.4</x:v>
      </x:c>
      <x:c r="R32" s="20" t="n">
        <x:f>IF(C32&lt;=20,0,IF(C32&lt;30,(C32-20)/10,1))</x:f>
        <x:v>0.6</x:v>
      </x:c>
    </x:row>
    <x:row r="33" ht="20" customHeight="1">
      <x:c r="A33" s="2"/>
      <x:c r="B33" s="2"/>
      <x:c r="C33" s="2" t="n">
        <x:v>27</x:v>
      </x:c>
      <x:c r="D33" s="46" t="n">
        <x:f>IF(C33=0,1,(1-EXP(-C33/'Sources'!$D$10))/(C33/'Sources'!$D$10))</x:f>
        <x:v>0.06905736000526769</x:v>
      </x:c>
      <x:c r="E33" s="46" t="n">
        <x:f>EXP(-C33/'Sources'!$D$10)</x:f>
        <x:v>5.141718470673566e-7</x:v>
      </x:c>
      <x:c r="F33" s="46" t="n">
        <x:f>IF(C33=0,1,(1-EXP(-C33/'Sources'!$D$11))/(C33/'Sources'!$D$11))</x:f>
        <x:v>0.47737913951413447</x:v>
      </x:c>
      <x:c r="G33" s="46" t="n">
        <x:f>EXP(-C33/'Sources'!$D$11)</x:f>
        <x:v>0.17916119055543683</x:v>
      </x:c>
      <x:c r="H33" s="47" t="n">
        <x:f>('Sources'!$D$6+'Sources'!$D$7*D33+'Sources'!$D$8*(D33-E33)+'Sources'!$D$9*(F33-G33))/100</x:f>
        <x:v>0.05732577628376445</x:v>
      </x:c>
      <x:c r="I33" s="20" t="n">
        <x:f>-C33*H33</x:f>
        <x:v>-1.5477959596616402</x:v>
      </x:c>
      <x:c r="J33" s="20" t="n">
        <x:f>EXP(I33)</x:f>
        <x:v>0.21271629283019666</x:v>
      </x:c>
      <x:c r="K33" s="46" t="n">
        <x:f>IF(C33&lt;=30,I33,IF('Controls'!$F$14=1,I33,IF('Controls'!$F$14=2,$I$36+(C33-30)*($I$36-$I$35),-C33*$H$36)))</x:f>
        <x:v>-1.5477959596616402</x:v>
      </x:c>
      <x:c r="L33" s="48" t="n">
        <x:f>'Controls'!$F$8+N33*'Controls'!$F$9+O33*'Controls'!$F$10+P33*'Controls'!$F$11+Q33*'Controls'!$F$12+R33*'Controls'!$F$13</x:f>
        <x:v>0</x:v>
      </x:c>
      <x:c r="M33" s="20" t="n">
        <x:f>EXP(K33-C33*L33)</x:f>
        <x:v>0.21271629283019666</x:v>
      </x:c>
      <x:c r="N33" s="20" t="n">
        <x:f>IF(C33&lt;=1,1,IF(C33&lt;5,(5-C33)/4,0))</x:f>
        <x:v>0</x:v>
      </x:c>
      <x:c r="O33" s="20" t="n">
        <x:f>IF(C33&lt;=1,0,IF(C33&lt;5,(C33-1)/4,IF(C33&lt;10,(10-C33)/5,0)))</x:f>
        <x:v>0</x:v>
      </x:c>
      <x:c r="P33" s="20" t="n">
        <x:f>IF(C33&lt;=5,0,IF(C33&lt;10,(C33-5)/5,IF(C33&lt;20,(20-C33)/10,0)))</x:f>
        <x:v>0</x:v>
      </x:c>
      <x:c r="Q33" s="20" t="n">
        <x:f>IF(C33&lt;=10,0,IF(C33&lt;20,(C33-10)/10,IF(C33&lt;30,(30-C33)/10,0)))</x:f>
        <x:v>0.3</x:v>
      </x:c>
      <x:c r="R33" s="20" t="n">
        <x:f>IF(C33&lt;=20,0,IF(C33&lt;30,(C33-20)/10,1))</x:f>
        <x:v>0.7</x:v>
      </x:c>
    </x:row>
    <x:row r="34" ht="20" customHeight="1">
      <x:c r="A34" s="2"/>
      <x:c r="B34" s="2"/>
      <x:c r="C34" s="2" t="n">
        <x:v>28</x:v>
      </x:c>
      <x:c r="D34" s="46" t="n">
        <x:f>IF(C34=0,1,(1-EXP(-C34/'Sources'!$D$10))/(C34/'Sources'!$D$10))</x:f>
        <x:v>0.06659103993224032</x:v>
      </x:c>
      <x:c r="E34" s="46" t="n">
        <x:f>EXP(-C34/'Sources'!$D$10)</x:f>
        <x:v>3.007366644727354e-7</x:v>
      </x:c>
      <x:c r="F34" s="46" t="n">
        <x:f>IF(C34=0,1,(1-EXP(-C34/'Sources'!$D$11))/(C34/'Sources'!$D$11))</x:f>
        <x:v>0.4665290107584644</x:v>
      </x:c>
      <x:c r="G34" s="46" t="n">
        <x:f>EXP(-C34/'Sources'!$D$11)</x:f>
        <x:v>0.1681071974024009</x:v>
      </x:c>
      <x:c r="H34" s="47" t="n">
        <x:f>('Sources'!$D$6+'Sources'!$D$7*D34+'Sources'!$D$8*(D34-E34)+'Sources'!$D$9*(F34-G34))/100</x:f>
        <x:v>0.05713377936847663</x:v>
      </x:c>
      <x:c r="I34" s="20" t="n">
        <x:f>-C34*H34</x:f>
        <x:v>-1.5997458223173455</x:v>
      </x:c>
      <x:c r="J34" s="20" t="n">
        <x:f>EXP(I34)</x:f>
        <x:v>0.20194784210618083</x:v>
      </x:c>
      <x:c r="K34" s="46" t="n">
        <x:f>IF(C34&lt;=30,I34,IF('Controls'!$F$14=1,I34,IF('Controls'!$F$14=2,$I$36+(C34-30)*($I$36-$I$35),-C34*$H$36)))</x:f>
        <x:v>-1.5997458223173455</x:v>
      </x:c>
      <x:c r="L34" s="48" t="n">
        <x:f>'Controls'!$F$8+N34*'Controls'!$F$9+O34*'Controls'!$F$10+P34*'Controls'!$F$11+Q34*'Controls'!$F$12+R34*'Controls'!$F$13</x:f>
        <x:v>0</x:v>
      </x:c>
      <x:c r="M34" s="20" t="n">
        <x:f>EXP(K34-C34*L34)</x:f>
        <x:v>0.20194784210618083</x:v>
      </x:c>
      <x:c r="N34" s="20" t="n">
        <x:f>IF(C34&lt;=1,1,IF(C34&lt;5,(5-C34)/4,0))</x:f>
        <x:v>0</x:v>
      </x:c>
      <x:c r="O34" s="20" t="n">
        <x:f>IF(C34&lt;=1,0,IF(C34&lt;5,(C34-1)/4,IF(C34&lt;10,(10-C34)/5,0)))</x:f>
        <x:v>0</x:v>
      </x:c>
      <x:c r="P34" s="20" t="n">
        <x:f>IF(C34&lt;=5,0,IF(C34&lt;10,(C34-5)/5,IF(C34&lt;20,(20-C34)/10,0)))</x:f>
        <x:v>0</x:v>
      </x:c>
      <x:c r="Q34" s="20" t="n">
        <x:f>IF(C34&lt;=10,0,IF(C34&lt;20,(C34-10)/10,IF(C34&lt;30,(30-C34)/10,0)))</x:f>
        <x:v>0.2</x:v>
      </x:c>
      <x:c r="R34" s="20" t="n">
        <x:f>IF(C34&lt;=20,0,IF(C34&lt;30,(C34-20)/10,1))</x:f>
        <x:v>0.8</x:v>
      </x:c>
    </x:row>
    <x:row r="35" ht="20" customHeight="1">
      <x:c r="A35" s="2"/>
      <x:c r="B35" s="2"/>
      <x:c r="C35" s="2" t="n">
        <x:v>29</x:v>
      </x:c>
      <x:c r="D35" s="46" t="n">
        <x:f>IF(C35=0,1,(1-EXP(-C35/'Sources'!$D$10))/(C35/'Sources'!$D$10))</x:f>
        <x:v>0.06429480520234243</x:v>
      </x:c>
      <x:c r="E35" s="46" t="n">
        <x:f>EXP(-C35/'Sources'!$D$10)</x:f>
        <x:v>1.7589944271363153e-7</x:v>
      </x:c>
      <x:c r="F35" s="46" t="n">
        <x:f>IF(C35=0,1,(1-EXP(-C35/'Sources'!$D$11))/(C35/'Sources'!$D$11))</x:f>
        <x:v>0.45605787826071964</x:v>
      </x:c>
      <x:c r="G35" s="46" t="n">
        <x:f>EXP(-C35/'Sources'!$D$11)</x:f>
        <x:v>0.15773522006009136</x:v>
      </x:c>
      <x:c r="H35" s="47" t="n">
        <x:f>('Sources'!$D$6+'Sources'!$D$7*D35+'Sources'!$D$8*(D35-E35)+'Sources'!$D$9*(F35-G35))/100</x:f>
        <x:v>0.05690562781123753</x:v>
      </x:c>
      <x:c r="I35" s="20" t="n">
        <x:f>-C35*H35</x:f>
        <x:v>-1.6502632065258884</x:v>
      </x:c>
      <x:c r="J35" s="20" t="n">
        <x:f>EXP(I35)</x:f>
        <x:v>0.19199936648331084</x:v>
      </x:c>
      <x:c r="K35" s="46" t="n">
        <x:f>IF(C35&lt;=30,I35,IF('Controls'!$F$14=1,I35,IF('Controls'!$F$14=2,$I$36+(C35-30)*($I$36-$I$35),-C35*$H$36)))</x:f>
        <x:v>-1.6502632065258884</x:v>
      </x:c>
      <x:c r="L35" s="48" t="n">
        <x:f>'Controls'!$F$8+N35*'Controls'!$F$9+O35*'Controls'!$F$10+P35*'Controls'!$F$11+Q35*'Controls'!$F$12+R35*'Controls'!$F$13</x:f>
        <x:v>0</x:v>
      </x:c>
      <x:c r="M35" s="20" t="n">
        <x:f>EXP(K35-C35*L35)</x:f>
        <x:v>0.19199936648331084</x:v>
      </x:c>
      <x:c r="N35" s="20" t="n">
        <x:f>IF(C35&lt;=1,1,IF(C35&lt;5,(5-C35)/4,0))</x:f>
        <x:v>0</x:v>
      </x:c>
      <x:c r="O35" s="20" t="n">
        <x:f>IF(C35&lt;=1,0,IF(C35&lt;5,(C35-1)/4,IF(C35&lt;10,(10-C35)/5,0)))</x:f>
        <x:v>0</x:v>
      </x:c>
      <x:c r="P35" s="20" t="n">
        <x:f>IF(C35&lt;=5,0,IF(C35&lt;10,(C35-5)/5,IF(C35&lt;20,(20-C35)/10,0)))</x:f>
        <x:v>0</x:v>
      </x:c>
      <x:c r="Q35" s="20" t="n">
        <x:f>IF(C35&lt;=10,0,IF(C35&lt;20,(C35-10)/10,IF(C35&lt;30,(30-C35)/10,0)))</x:f>
        <x:v>0.1</x:v>
      </x:c>
      <x:c r="R35" s="20" t="n">
        <x:f>IF(C35&lt;=20,0,IF(C35&lt;30,(C35-20)/10,1))</x:f>
        <x:v>0.9</x:v>
      </x:c>
    </x:row>
    <x:row r="36" ht="20" customHeight="1">
      <x:c r="A36" s="2"/>
      <x:c r="B36" s="2"/>
      <x:c r="C36" s="2" t="n">
        <x:v>30</x:v>
      </x:c>
      <x:c r="D36" s="46" t="n">
        <x:f>IF(C36=0,1,(1-EXP(-C36/'Sources'!$D$10))/(C36/'Sources'!$D$10))</x:f>
        <x:v>0.062151649567039606</x:v>
      </x:c>
      <x:c r="E36" s="46" t="n">
        <x:f>EXP(-C36/'Sources'!$D$10)</x:f>
        <x:v>1.0288274627642266e-7</x:v>
      </x:c>
      <x:c r="F36" s="46" t="n">
        <x:f>IF(C36=0,1,(1-EXP(-C36/'Sources'!$D$11))/(C36/'Sources'!$D$11))</x:f>
        <x:v>0.4459498674885293</x:v>
      </x:c>
      <x:c r="G36" s="46" t="n">
        <x:f>EXP(-C36/'Sources'!$D$11)</x:f>
        <x:v>0.148003179113437</x:v>
      </x:c>
      <x:c r="H36" s="47" t="n">
        <x:f>('Sources'!$D$6+'Sources'!$D$7*D36+'Sources'!$D$8*(D36-E36)+'Sources'!$D$9*(F36-G36))/100</x:f>
        <x:v>0.05664423845275853</x:v>
      </x:c>
      <x:c r="I36" s="20" t="n">
        <x:f>-C36*H36</x:f>
        <x:v>-1.6993271535827559</x:v>
      </x:c>
      <x:c r="J36" s="20" t="n">
        <x:f>EXP(I36)</x:f>
        <x:v>0.18280648336911193</x:v>
      </x:c>
      <x:c r="K36" s="46" t="n">
        <x:f>IF(C36&lt;=30,I36,IF('Controls'!$F$14=1,I36,IF('Controls'!$F$14=2,$I$36+(C36-30)*($I$36-$I$35),-C36*$H$36)))</x:f>
        <x:v>-1.6993271535827559</x:v>
      </x:c>
      <x:c r="L36" s="48" t="n">
        <x:f>'Controls'!$F$8+N36*'Controls'!$F$9+O36*'Controls'!$F$10+P36*'Controls'!$F$11+Q36*'Controls'!$F$12+R36*'Controls'!$F$13</x:f>
        <x:v>0</x:v>
      </x:c>
      <x:c r="M36" s="20" t="n">
        <x:f>EXP(K36-C36*L36)</x:f>
        <x:v>0.18280648336911193</x:v>
      </x:c>
      <x:c r="N36" s="20" t="n">
        <x:f>IF(C36&lt;=1,1,IF(C36&lt;5,(5-C36)/4,0))</x:f>
        <x:v>0</x:v>
      </x:c>
      <x:c r="O36" s="20" t="n">
        <x:f>IF(C36&lt;=1,0,IF(C36&lt;5,(C36-1)/4,IF(C36&lt;10,(10-C36)/5,0)))</x:f>
        <x:v>0</x:v>
      </x:c>
      <x:c r="P36" s="20" t="n">
        <x:f>IF(C36&lt;=5,0,IF(C36&lt;10,(C36-5)/5,IF(C36&lt;20,(20-C36)/10,0)))</x:f>
        <x:v>0</x:v>
      </x:c>
      <x:c r="Q36" s="20" t="n">
        <x:f>IF(C36&lt;=10,0,IF(C36&lt;20,(C36-10)/10,IF(C36&lt;30,(30-C36)/10,0)))</x:f>
        <x:v>0</x:v>
      </x:c>
      <x:c r="R36" s="20" t="n">
        <x:f>IF(C36&lt;=20,0,IF(C36&lt;30,(C36-20)/10,1))</x:f>
        <x:v>1</x:v>
      </x:c>
    </x:row>
    <x:row r="37" ht="20" customHeight="1">
      <x:c r="A37" s="2"/>
      <x:c r="B37" s="2"/>
      <x:c r="C37" s="2" t="n">
        <x:v>31</x:v>
      </x:c>
      <x:c r="D37" s="46" t="n">
        <x:f>IF(C37=0,1,(1-EXP(-C37/'Sources'!$D$10))/(C37/'Sources'!$D$10))</x:f>
        <x:v>0.060146760214217145</x:v>
      </x:c>
      <x:c r="E37" s="46" t="n">
        <x:f>EXP(-C37/'Sources'!$D$10)</x:f>
        <x:v>6.017562829127994e-8</x:v>
      </x:c>
      <x:c r="F37" s="46" t="n">
        <x:f>IF(C37=0,1,(1-EXP(-C37/'Sources'!$D$11))/(C37/'Sources'!$D$11))</x:f>
        <x:v>0.4361898371550729</x:v>
      </x:c>
      <x:c r="G37" s="46" t="n">
        <x:f>EXP(-C37/'Sources'!$D$11)</x:f>
        <x:v>0.13887159138801797</x:v>
      </x:c>
      <x:c r="H37" s="47" t="n">
        <x:f>('Sources'!$D$6+'Sources'!$D$7*D37+'Sources'!$D$8*(D37-E37)+'Sources'!$D$9*(F37-G37))/100</x:f>
        <x:v>0.05635241064507961</x:v>
      </x:c>
      <x:c r="I37" s="20" t="n">
        <x:f>-C37*H37</x:f>
        <x:v>-1.746924729997468</x:v>
      </x:c>
      <x:c r="J37" s="20" t="n">
        <x:f>EXP(I37)</x:f>
        <x:v>0.17430916780384523</x:v>
      </x:c>
      <x:c r="K37" s="46" t="n">
        <x:f>IF(C37&lt;=30,I37,IF('Controls'!$F$14=1,I37,IF('Controls'!$F$14=2,$I$36+(C37-30)*($I$36-$I$35),-C37*$H$36)))</x:f>
        <x:v>-1.746924729997468</x:v>
      </x:c>
      <x:c r="L37" s="48" t="n">
        <x:f>'Controls'!$F$8+N37*'Controls'!$F$9+O37*'Controls'!$F$10+P37*'Controls'!$F$11+Q37*'Controls'!$F$12+R37*'Controls'!$F$13</x:f>
        <x:v>0</x:v>
      </x:c>
      <x:c r="M37" s="20" t="n">
        <x:f>EXP(K37-C37*L37)</x:f>
        <x:v>0.17430916780384523</x:v>
      </x:c>
      <x:c r="N37" s="20" t="n">
        <x:f>IF(C37&lt;=1,1,IF(C37&lt;5,(5-C37)/4,0))</x:f>
        <x:v>0</x:v>
      </x:c>
      <x:c r="O37" s="20" t="n">
        <x:f>IF(C37&lt;=1,0,IF(C37&lt;5,(C37-1)/4,IF(C37&lt;10,(10-C37)/5,0)))</x:f>
        <x:v>0</x:v>
      </x:c>
      <x:c r="P37" s="20" t="n">
        <x:f>IF(C37&lt;=5,0,IF(C37&lt;10,(C37-5)/5,IF(C37&lt;20,(20-C37)/10,0)))</x:f>
        <x:v>0</x:v>
      </x:c>
      <x:c r="Q37" s="20" t="n">
        <x:f>IF(C37&lt;=10,0,IF(C37&lt;20,(C37-10)/10,IF(C37&lt;30,(30-C37)/10,0)))</x:f>
        <x:v>0</x:v>
      </x:c>
      <x:c r="R37" s="20" t="n">
        <x:f>IF(C37&lt;=20,0,IF(C37&lt;30,(C37-20)/10,1))</x:f>
        <x:v>1</x:v>
      </x:c>
    </x:row>
    <x:row r="38" ht="20" customHeight="1">
      <x:c r="A38" s="2"/>
      <x:c r="B38" s="2"/>
      <x:c r="C38" s="2" t="n">
        <x:v>32</x:v>
      </x:c>
      <x:c r="D38" s="46" t="n">
        <x:f>IF(C38=0,1,(1-EXP(-C38/'Sources'!$D$10))/(C38/'Sources'!$D$10))</x:f>
        <x:v>0.05826717541298975</x:v>
      </x:c>
      <x:c r="E38" s="46" t="n">
        <x:f>EXP(-C38/'Sources'!$D$10)</x:f>
        <x:v>3.5196438385511184e-8</x:v>
      </x:c>
      <x:c r="F38" s="46" t="n">
        <x:f>IF(C38=0,1,(1-EXP(-C38/'Sources'!$D$11))/(C38/'Sources'!$D$11))</x:f>
        <x:v>0.4267633432525392</x:v>
      </x:c>
      <x:c r="G38" s="46" t="n">
        <x:f>EXP(-C38/'Sources'!$D$11)</x:f>
        <x:v>0.13030340976567412</x:v>
      </x:c>
      <x:c r="H38" s="47" t="n">
        <x:f>('Sources'!$D$6+'Sources'!$D$7*D38+'Sources'!$D$8*(D38-E38)+'Sources'!$D$9*(F38-G38))/100</x:f>
        <x:v>0.05603281632775117</x:v>
      </x:c>
      <x:c r="I38" s="20" t="n">
        <x:f>-C38*H38</x:f>
        <x:v>-1.7930501224880375</x:v>
      </x:c>
      <x:c r="J38" s="20" t="n">
        <x:f>EXP(I38)</x:f>
        <x:v>0.16645169654578776</x:v>
      </x:c>
      <x:c r="K38" s="46" t="n">
        <x:f>IF(C38&lt;=30,I38,IF('Controls'!$F$14=1,I38,IF('Controls'!$F$14=2,$I$36+(C38-30)*($I$36-$I$35),-C38*$H$36)))</x:f>
        <x:v>-1.7930501224880375</x:v>
      </x:c>
      <x:c r="L38" s="48" t="n">
        <x:f>'Controls'!$F$8+N38*'Controls'!$F$9+O38*'Controls'!$F$10+P38*'Controls'!$F$11+Q38*'Controls'!$F$12+R38*'Controls'!$F$13</x:f>
        <x:v>0</x:v>
      </x:c>
      <x:c r="M38" s="20" t="n">
        <x:f>EXP(K38-C38*L38)</x:f>
        <x:v>0.16645169654578776</x:v>
      </x:c>
      <x:c r="N38" s="20" t="n">
        <x:f>IF(C38&lt;=1,1,IF(C38&lt;5,(5-C38)/4,0))</x:f>
        <x:v>0</x:v>
      </x:c>
      <x:c r="O38" s="20" t="n">
        <x:f>IF(C38&lt;=1,0,IF(C38&lt;5,(C38-1)/4,IF(C38&lt;10,(10-C38)/5,0)))</x:f>
        <x:v>0</x:v>
      </x:c>
      <x:c r="P38" s="20" t="n">
        <x:f>IF(C38&lt;=5,0,IF(C38&lt;10,(C38-5)/5,IF(C38&lt;20,(20-C38)/10,0)))</x:f>
        <x:v>0</x:v>
      </x:c>
      <x:c r="Q38" s="20" t="n">
        <x:f>IF(C38&lt;=10,0,IF(C38&lt;20,(C38-10)/10,IF(C38&lt;30,(30-C38)/10,0)))</x:f>
        <x:v>0</x:v>
      </x:c>
      <x:c r="R38" s="20" t="n">
        <x:f>IF(C38&lt;=20,0,IF(C38&lt;30,(C38-20)/10,1))</x:f>
        <x:v>1</x:v>
      </x:c>
    </x:row>
    <x:row r="39" ht="20" customHeight="1">
      <x:c r="A39" s="2"/>
      <x:c r="B39" s="2"/>
      <x:c r="C39" s="2" t="n">
        <x:v>33</x:v>
      </x:c>
      <x:c r="D39" s="46" t="n">
        <x:f>IF(C39=0,1,(1-EXP(-C39/'Sources'!$D$10))/(C39/'Sources'!$D$10))</x:f>
        <x:v>0.05650150425627676</x:v>
      </x:c>
      <x:c r="E39" s="46" t="n">
        <x:f>EXP(-C39/'Sources'!$D$10)</x:f>
        <x:v>2.0586229179506518e-8</x:v>
      </x:c>
      <x:c r="F39" s="46" t="n">
        <x:f>IF(C39=0,1,(1-EXP(-C39/'Sources'!$D$11))/(C39/'Sources'!$D$11))</x:f>
        <x:v>0.4176566049222158</x:v>
      </x:c>
      <x:c r="G39" s="46" t="n">
        <x:f>EXP(-C39/'Sources'!$D$11)</x:f>
        <x:v>0.12226387288326368</x:v>
      </x:c>
      <x:c r="H39" s="47" t="n">
        <x:f>('Sources'!$D$6+'Sources'!$D$7*D39+'Sources'!$D$8*(D39-E39)+'Sources'!$D$9*(F39-G39))/100</x:f>
        <x:v>0.05568799430180624</x:v>
      </x:c>
      <x:c r="I39" s="20" t="n">
        <x:f>-C39*H39</x:f>
        <x:v>-1.8377038119596059</x:v>
      </x:c>
      <x:c r="J39" s="20" t="n">
        <x:f>EXP(I39)</x:f>
        <x:v>0.15918251978280729</x:v>
      </x:c>
      <x:c r="K39" s="46" t="n">
        <x:f>IF(C39&lt;=30,I39,IF('Controls'!$F$14=1,I39,IF('Controls'!$F$14=2,$I$36+(C39-30)*($I$36-$I$35),-C39*$H$36)))</x:f>
        <x:v>-1.8377038119596059</x:v>
      </x:c>
      <x:c r="L39" s="48" t="n">
        <x:f>'Controls'!$F$8+N39*'Controls'!$F$9+O39*'Controls'!$F$10+P39*'Controls'!$F$11+Q39*'Controls'!$F$12+R39*'Controls'!$F$13</x:f>
        <x:v>0</x:v>
      </x:c>
      <x:c r="M39" s="20" t="n">
        <x:f>EXP(K39-C39*L39)</x:f>
        <x:v>0.15918251978280729</x:v>
      </x:c>
      <x:c r="N39" s="20" t="n">
        <x:f>IF(C39&lt;=1,1,IF(C39&lt;5,(5-C39)/4,0))</x:f>
        <x:v>0</x:v>
      </x:c>
      <x:c r="O39" s="20" t="n">
        <x:f>IF(C39&lt;=1,0,IF(C39&lt;5,(C39-1)/4,IF(C39&lt;10,(10-C39)/5,0)))</x:f>
        <x:v>0</x:v>
      </x:c>
      <x:c r="P39" s="20" t="n">
        <x:f>IF(C39&lt;=5,0,IF(C39&lt;10,(C39-5)/5,IF(C39&lt;20,(20-C39)/10,0)))</x:f>
        <x:v>0</x:v>
      </x:c>
      <x:c r="Q39" s="20" t="n">
        <x:f>IF(C39&lt;=10,0,IF(C39&lt;20,(C39-10)/10,IF(C39&lt;30,(30-C39)/10,0)))</x:f>
        <x:v>0</x:v>
      </x:c>
      <x:c r="R39" s="20" t="n">
        <x:f>IF(C39&lt;=20,0,IF(C39&lt;30,(C39-20)/10,1))</x:f>
        <x:v>1</x:v>
      </x:c>
    </x:row>
    <x:row r="40" ht="20" customHeight="1">
      <x:c r="A40" s="2"/>
      <x:c r="B40" s="2"/>
      <x:c r="C40" s="2" t="n">
        <x:v>34</x:v>
      </x:c>
      <x:c r="D40" s="46" t="n">
        <x:f>IF(C40=0,1,(1-EXP(-C40/'Sources'!$D$10))/(C40/'Sources'!$D$10))</x:f>
        <x:v>0.054839695776192174</x:v>
      </x:c>
      <x:c r="E40" s="46" t="n">
        <x:f>EXP(-C40/'Sources'!$D$10)</x:f>
        <x:v>1.2040787399830273e-8</x:v>
      </x:c>
      <x:c r="F40" s="46" t="n">
        <x:f>IF(C40=0,1,(1-EXP(-C40/'Sources'!$D$11))/(C40/'Sources'!$D$11))</x:f>
        <x:v>0.40885647206470244</x:v>
      </x:c>
      <x:c r="G40" s="46" t="n">
        <x:f>EXP(-C40/'Sources'!$D$11)</x:f>
        <x:v>0.11472036410479827</x:v>
      </x:c>
      <x:c r="H40" s="47" t="n">
        <x:f>('Sources'!$D$6+'Sources'!$D$7*D40+'Sources'!$D$8*(D40-E40)+'Sources'!$D$9*(F40-G40))/100</x:f>
        <x:v>0.05532034767635289</x:v>
      </x:c>
      <x:c r="I40" s="20" t="n">
        <x:f>-C40*H40</x:f>
        <x:v>-1.8808918209959982</x:v>
      </x:c>
      <x:c r="J40" s="20" t="n">
        <x:f>EXP(I40)</x:f>
        <x:v>0.1524540833596186</x:v>
      </x:c>
      <x:c r="K40" s="46" t="n">
        <x:f>IF(C40&lt;=30,I40,IF('Controls'!$F$14=1,I40,IF('Controls'!$F$14=2,$I$36+(C40-30)*($I$36-$I$35),-C40*$H$36)))</x:f>
        <x:v>-1.8808918209959982</x:v>
      </x:c>
      <x:c r="L40" s="48" t="n">
        <x:f>'Controls'!$F$8+N40*'Controls'!$F$9+O40*'Controls'!$F$10+P40*'Controls'!$F$11+Q40*'Controls'!$F$12+R40*'Controls'!$F$13</x:f>
        <x:v>0</x:v>
      </x:c>
      <x:c r="M40" s="20" t="n">
        <x:f>EXP(K40-C40*L40)</x:f>
        <x:v>0.1524540833596186</x:v>
      </x:c>
      <x:c r="N40" s="20" t="n">
        <x:f>IF(C40&lt;=1,1,IF(C40&lt;5,(5-C40)/4,0))</x:f>
        <x:v>0</x:v>
      </x:c>
      <x:c r="O40" s="20" t="n">
        <x:f>IF(C40&lt;=1,0,IF(C40&lt;5,(C40-1)/4,IF(C40&lt;10,(10-C40)/5,0)))</x:f>
        <x:v>0</x:v>
      </x:c>
      <x:c r="P40" s="20" t="n">
        <x:f>IF(C40&lt;=5,0,IF(C40&lt;10,(C40-5)/5,IF(C40&lt;20,(20-C40)/10,0)))</x:f>
        <x:v>0</x:v>
      </x:c>
      <x:c r="Q40" s="20" t="n">
        <x:f>IF(C40&lt;=10,0,IF(C40&lt;20,(C40-10)/10,IF(C40&lt;30,(30-C40)/10,0)))</x:f>
        <x:v>0</x:v>
      </x:c>
      <x:c r="R40" s="20" t="n">
        <x:f>IF(C40&lt;=20,0,IF(C40&lt;30,(C40-20)/10,1))</x:f>
        <x:v>1</x:v>
      </x:c>
    </x:row>
    <x:row r="41" ht="20" customHeight="1">
      <x:c r="A41" s="2"/>
      <x:c r="B41" s="2"/>
      <x:c r="C41" s="2" t="n">
        <x:v>35</x:v>
      </x:c>
      <x:c r="D41" s="46" t="n">
        <x:f>IF(C41=0,1,(1-EXP(-C41/'Sources'!$D$10))/(C41/'Sources'!$D$10))</x:f>
        <x:v>0.05327284759171154</x:v>
      </x:c>
      <x:c r="E41" s="46" t="n">
        <x:f>EXP(-C41/'Sources'!$D$10)</x:f>
        <x:v>7.042599202783497e-9</x:v>
      </x:c>
      <x:c r="F41" s="46" t="n">
        <x:f>IF(C41=0,1,(1-EXP(-C41/'Sources'!$D$11))/(C41/'Sources'!$D$11))</x:f>
        <x:v>0.4003503945989117</x:v>
      </x:c>
      <x:c r="G41" s="46" t="n">
        <x:f>EXP(-C41/'Sources'!$D$11)</x:f>
        <x:v>0.10764227919479745</x:v>
      </x:c>
      <x:c r="H41" s="47" t="n">
        <x:f>('Sources'!$D$6+'Sources'!$D$7*D41+'Sources'!$D$8*(D41-E41)+'Sources'!$D$9*(F41-G41))/100</x:f>
        <x:v>0.05493214369849236</x:v>
      </x:c>
      <x:c r="I41" s="20" t="n">
        <x:f>-C41*H41</x:f>
        <x:v>-1.9226250294472325</x:v>
      </x:c>
      <x:c r="J41" s="20" t="n">
        <x:f>EXP(I41)</x:f>
        <x:v>0.1462226192140271</x:v>
      </x:c>
      <x:c r="K41" s="46" t="n">
        <x:f>IF(C41&lt;=30,I41,IF('Controls'!$F$14=1,I41,IF('Controls'!$F$14=2,$I$36+(C41-30)*($I$36-$I$35),-C41*$H$36)))</x:f>
        <x:v>-1.9226250294472325</x:v>
      </x:c>
      <x:c r="L41" s="48" t="n">
        <x:f>'Controls'!$F$8+N41*'Controls'!$F$9+O41*'Controls'!$F$10+P41*'Controls'!$F$11+Q41*'Controls'!$F$12+R41*'Controls'!$F$13</x:f>
        <x:v>0</x:v>
      </x:c>
      <x:c r="M41" s="20" t="n">
        <x:f>EXP(K41-C41*L41)</x:f>
        <x:v>0.1462226192140271</x:v>
      </x:c>
      <x:c r="N41" s="20" t="n">
        <x:f>IF(C41&lt;=1,1,IF(C41&lt;5,(5-C41)/4,0))</x:f>
        <x:v>0</x:v>
      </x:c>
      <x:c r="O41" s="20" t="n">
        <x:f>IF(C41&lt;=1,0,IF(C41&lt;5,(C41-1)/4,IF(C41&lt;10,(10-C41)/5,0)))</x:f>
        <x:v>0</x:v>
      </x:c>
      <x:c r="P41" s="20" t="n">
        <x:f>IF(C41&lt;=5,0,IF(C41&lt;10,(C41-5)/5,IF(C41&lt;20,(20-C41)/10,0)))</x:f>
        <x:v>0</x:v>
      </x:c>
      <x:c r="Q41" s="20" t="n">
        <x:f>IF(C41&lt;=10,0,IF(C41&lt;20,(C41-10)/10,IF(C41&lt;30,(30-C41)/10,0)))</x:f>
        <x:v>0</x:v>
      </x:c>
      <x:c r="R41" s="20" t="n">
        <x:f>IF(C41&lt;=20,0,IF(C41&lt;30,(C41-20)/10,1))</x:f>
        <x:v>1</x:v>
      </x:c>
    </x:row>
    <x:row r="42" ht="20" customHeight="1">
      <x:c r="A42" s="2"/>
      <x:c r="B42" s="2"/>
      <x:c r="C42" s="2" t="n">
        <x:v>36</x:v>
      </x:c>
      <x:c r="D42" s="46" t="n">
        <x:f>IF(C42=0,1,(1-EXP(-C42/'Sources'!$D$10))/(C42/'Sources'!$D$10))</x:f>
        <x:v>0.051793046421132194</x:v>
      </x:c>
      <x:c r="E42" s="46" t="n">
        <x:f>EXP(-C42/'Sources'!$D$10)</x:f>
        <x:v>4.119182731500272e-9</x:v>
      </x:c>
      <x:c r="F42" s="46" t="n">
        <x:f>IF(C42=0,1,(1-EXP(-C42/'Sources'!$D$11))/(C42/'Sources'!$D$11))</x:f>
        <x:v>0.3921263932834284</x:v>
      </x:c>
      <x:c r="G42" s="46" t="n">
        <x:f>EXP(-C42/'Sources'!$D$11)</x:f>
        <x:v>0.10100090215601126</x:v>
      </x:c>
      <x:c r="H42" s="47" t="n">
        <x:f>('Sources'!$D$6+'Sources'!$D$7*D42+'Sources'!$D$8*(D42-E42)+'Sources'!$D$9*(F42-G42))/100</x:f>
        <x:v>0.054525515357978775</x:v>
      </x:c>
      <x:c r="I42" s="20" t="n">
        <x:f>-C42*H42</x:f>
        <x:v>-1.962918552887236</x:v>
      </x:c>
      <x:c r="J42" s="20" t="n">
        <x:f>EXP(I42)</x:f>
        <x:v>0.140447917499335</x:v>
      </x:c>
      <x:c r="K42" s="46" t="n">
        <x:f>IF(C42&lt;=30,I42,IF('Controls'!$F$14=1,I42,IF('Controls'!$F$14=2,$I$36+(C42-30)*($I$36-$I$35),-C42*$H$36)))</x:f>
        <x:v>-1.962918552887236</x:v>
      </x:c>
      <x:c r="L42" s="48" t="n">
        <x:f>'Controls'!$F$8+N42*'Controls'!$F$9+O42*'Controls'!$F$10+P42*'Controls'!$F$11+Q42*'Controls'!$F$12+R42*'Controls'!$F$13</x:f>
        <x:v>0</x:v>
      </x:c>
      <x:c r="M42" s="20" t="n">
        <x:f>EXP(K42-C42*L42)</x:f>
        <x:v>0.140447917499335</x:v>
      </x:c>
      <x:c r="N42" s="20" t="n">
        <x:f>IF(C42&lt;=1,1,IF(C42&lt;5,(5-C42)/4,0))</x:f>
        <x:v>0</x:v>
      </x:c>
      <x:c r="O42" s="20" t="n">
        <x:f>IF(C42&lt;=1,0,IF(C42&lt;5,(C42-1)/4,IF(C42&lt;10,(10-C42)/5,0)))</x:f>
        <x:v>0</x:v>
      </x:c>
      <x:c r="P42" s="20" t="n">
        <x:f>IF(C42&lt;=5,0,IF(C42&lt;10,(C42-5)/5,IF(C42&lt;20,(20-C42)/10,0)))</x:f>
        <x:v>0</x:v>
      </x:c>
      <x:c r="Q42" s="20" t="n">
        <x:f>IF(C42&lt;=10,0,IF(C42&lt;20,(C42-10)/10,IF(C42&lt;30,(30-C42)/10,0)))</x:f>
        <x:v>0</x:v>
      </x:c>
      <x:c r="R42" s="20" t="n">
        <x:f>IF(C42&lt;=20,0,IF(C42&lt;30,(C42-20)/10,1))</x:f>
        <x:v>1</x:v>
      </x:c>
    </x:row>
    <x:row r="43" ht="20" customHeight="1">
      <x:c r="A43" s="2"/>
      <x:c r="B43" s="2"/>
      <x:c r="C43" s="2" t="n">
        <x:v>37</x:v>
      </x:c>
      <x:c r="D43" s="46" t="n">
        <x:f>IF(C43=0,1,(1-EXP(-C43/'Sources'!$D$10))/(C43/'Sources'!$D$10))</x:f>
        <x:v>0.0503932344418632</x:v>
      </x:c>
      <x:c r="E43" s="46" t="n">
        <x:f>EXP(-C43/'Sources'!$D$10)</x:f>
        <x:v>2.4092903609769226e-9</x:v>
      </x:c>
      <x:c r="F43" s="46" t="n">
        <x:f>IF(C43=0,1,(1-EXP(-C43/'Sources'!$D$11))/(C43/'Sources'!$D$11))</x:f>
        <x:v>0.3841730320184234</x:v>
      </x:c>
      <x:c r="G43" s="46" t="n">
        <x:f>EXP(-C43/'Sources'!$D$11)</x:f>
        <x:v>0.0947692887277809</x:v>
      </x:c>
      <x:c r="H43" s="47" t="n">
        <x:f>('Sources'!$D$6+'Sources'!$D$7*D43+'Sources'!$D$8*(D43-E43)+'Sources'!$D$9*(F43-G43))/100</x:f>
        <x:v>0.054102464296763415</x:v>
      </x:c>
      <x:c r="I43" s="20" t="n">
        <x:f>-C43*H43</x:f>
        <x:v>-2.0017911789802465</x:v>
      </x:c>
      <x:c r="J43" s="20" t="n">
        <x:f>EXP(I43)</x:f>
        <x:v>0.1350930904920229</x:v>
      </x:c>
      <x:c r="K43" s="46" t="n">
        <x:f>IF(C43&lt;=30,I43,IF('Controls'!$F$14=1,I43,IF('Controls'!$F$14=2,$I$36+(C43-30)*($I$36-$I$35),-C43*$H$36)))</x:f>
        <x:v>-2.0017911789802465</x:v>
      </x:c>
      <x:c r="L43" s="48" t="n">
        <x:f>'Controls'!$F$8+N43*'Controls'!$F$9+O43*'Controls'!$F$10+P43*'Controls'!$F$11+Q43*'Controls'!$F$12+R43*'Controls'!$F$13</x:f>
        <x:v>0</x:v>
      </x:c>
      <x:c r="M43" s="20" t="n">
        <x:f>EXP(K43-C43*L43)</x:f>
        <x:v>0.1350930904920229</x:v>
      </x:c>
      <x:c r="N43" s="20" t="n">
        <x:f>IF(C43&lt;=1,1,IF(C43&lt;5,(5-C43)/4,0))</x:f>
        <x:v>0</x:v>
      </x:c>
      <x:c r="O43" s="20" t="n">
        <x:f>IF(C43&lt;=1,0,IF(C43&lt;5,(C43-1)/4,IF(C43&lt;10,(10-C43)/5,0)))</x:f>
        <x:v>0</x:v>
      </x:c>
      <x:c r="P43" s="20" t="n">
        <x:f>IF(C43&lt;=5,0,IF(C43&lt;10,(C43-5)/5,IF(C43&lt;20,(20-C43)/10,0)))</x:f>
        <x:v>0</x:v>
      </x:c>
      <x:c r="Q43" s="20" t="n">
        <x:f>IF(C43&lt;=10,0,IF(C43&lt;20,(C43-10)/10,IF(C43&lt;30,(30-C43)/10,0)))</x:f>
        <x:v>0</x:v>
      </x:c>
      <x:c r="R43" s="20" t="n">
        <x:f>IF(C43&lt;=20,0,IF(C43&lt;30,(C43-20)/10,1))</x:f>
        <x:v>1</x:v>
      </x:c>
    </x:row>
    <x:row r="44" ht="20" customHeight="1">
      <x:c r="A44" s="2"/>
      <x:c r="B44" s="2"/>
      <x:c r="C44" s="2" t="n">
        <x:v>38</x:v>
      </x:c>
      <x:c r="D44" s="46" t="n">
        <x:f>IF(C44=0,1,(1-EXP(-C44/'Sources'!$D$10))/(C44/'Sources'!$D$10))</x:f>
        <x:v>0.04906709674246551</x:v>
      </x:c>
      <x:c r="E44" s="46" t="n">
        <x:f>EXP(-C44/'Sources'!$D$10)</x:f>
        <x:v>1.409182457264321e-9</x:v>
      </x:c>
      <x:c r="F44" s="46" t="n">
        <x:f>IF(C44=0,1,(1-EXP(-C44/'Sources'!$D$11))/(C44/'Sources'!$D$11))</x:f>
        <x:v>0.37647939155069965</x:v>
      </x:c>
      <x:c r="G44" s="46" t="n">
        <x:f>EXP(-C44/'Sources'!$D$11)</x:f>
        <x:v>0.08892215707238581</x:v>
      </x:c>
      <x:c r="H44" s="47" t="n">
        <x:f>('Sources'!$D$6+'Sources'!$D$7*D44+'Sources'!$D$8*(D44-E44)+'Sources'!$D$9*(F44-G44))/100</x:f>
        <x:v>0.05366486466033825</x:v>
      </x:c>
      <x:c r="I44" s="20" t="n">
        <x:f>-C44*H44</x:f>
        <x:v>-2.0392648570928533</x:v>
      </x:c>
      <x:c r="J44" s="20" t="n">
        <x:f>EXP(I44)</x:f>
        <x:v>0.13012433570760448</x:v>
      </x:c>
      <x:c r="K44" s="46" t="n">
        <x:f>IF(C44&lt;=30,I44,IF('Controls'!$F$14=1,I44,IF('Controls'!$F$14=2,$I$36+(C44-30)*($I$36-$I$35),-C44*$H$36)))</x:f>
        <x:v>-2.0392648570928533</x:v>
      </x:c>
      <x:c r="L44" s="48" t="n">
        <x:f>'Controls'!$F$8+N44*'Controls'!$F$9+O44*'Controls'!$F$10+P44*'Controls'!$F$11+Q44*'Controls'!$F$12+R44*'Controls'!$F$13</x:f>
        <x:v>0</x:v>
      </x:c>
      <x:c r="M44" s="20" t="n">
        <x:f>EXP(K44-C44*L44)</x:f>
        <x:v>0.13012433570760448</x:v>
      </x:c>
      <x:c r="N44" s="20" t="n">
        <x:f>IF(C44&lt;=1,1,IF(C44&lt;5,(5-C44)/4,0))</x:f>
        <x:v>0</x:v>
      </x:c>
      <x:c r="O44" s="20" t="n">
        <x:f>IF(C44&lt;=1,0,IF(C44&lt;5,(C44-1)/4,IF(C44&lt;10,(10-C44)/5,0)))</x:f>
        <x:v>0</x:v>
      </x:c>
      <x:c r="P44" s="20" t="n">
        <x:f>IF(C44&lt;=5,0,IF(C44&lt;10,(C44-5)/5,IF(C44&lt;20,(20-C44)/10,0)))</x:f>
        <x:v>0</x:v>
      </x:c>
      <x:c r="Q44" s="20" t="n">
        <x:f>IF(C44&lt;=10,0,IF(C44&lt;20,(C44-10)/10,IF(C44&lt;30,(30-C44)/10,0)))</x:f>
        <x:v>0</x:v>
      </x:c>
      <x:c r="R44" s="20" t="n">
        <x:f>IF(C44&lt;=20,0,IF(C44&lt;30,(C44-20)/10,1))</x:f>
        <x:v>1</x:v>
      </x:c>
    </x:row>
    <x:row r="45" ht="20" customHeight="1">
      <x:c r="A45" s="2"/>
      <x:c r="B45" s="2"/>
      <x:c r="C45" s="2" t="n">
        <x:v>39</x:v>
      </x:c>
      <x:c r="D45" s="46" t="n">
        <x:f>IF(C45=0,1,(1-EXP(-C45/'Sources'!$D$10))/(C45/'Sources'!$D$10))</x:f>
        <x:v>0.04780896608472752</x:v>
      </x:c>
      <x:c r="E45" s="46" t="n">
        <x:f>EXP(-C45/'Sources'!$D$10)</x:f>
        <x:v>8.24224107656458e-10</x:v>
      </x:c>
      <x:c r="F45" s="46" t="n">
        <x:f>IF(C45=0,1,(1-EXP(-C45/'Sources'!$D$11))/(C45/'Sources'!$D$11))</x:f>
        <x:v>0.3690350445085869</x:v>
      </x:c>
      <x:c r="G45" s="46" t="n">
        <x:f>EXP(-C45/'Sources'!$D$11)</x:f>
        <x:v>0.08343578520588947</x:v>
      </x:c>
      <x:c r="H45" s="47" t="n">
        <x:f>('Sources'!$D$6+'Sources'!$D$7*D45+'Sources'!$D$8*(D45-E45)+'Sources'!$D$9*(F45-G45))/100</x:f>
        <x:v>0.05321446761020493</x:v>
      </x:c>
      <x:c r="I45" s="20" t="n">
        <x:f>-C45*H45</x:f>
        <x:v>-2.0753642367979923</x:v>
      </x:c>
      <x:c r="J45" s="20" t="n">
        <x:f>EXP(I45)</x:f>
        <x:v>0.12551070354975663</x:v>
      </x:c>
      <x:c r="K45" s="46" t="n">
        <x:f>IF(C45&lt;=30,I45,IF('Controls'!$F$14=1,I45,IF('Controls'!$F$14=2,$I$36+(C45-30)*($I$36-$I$35),-C45*$H$36)))</x:f>
        <x:v>-2.0753642367979923</x:v>
      </x:c>
      <x:c r="L45" s="48" t="n">
        <x:f>'Controls'!$F$8+N45*'Controls'!$F$9+O45*'Controls'!$F$10+P45*'Controls'!$F$11+Q45*'Controls'!$F$12+R45*'Controls'!$F$13</x:f>
        <x:v>0</x:v>
      </x:c>
      <x:c r="M45" s="20" t="n">
        <x:f>EXP(K45-C45*L45)</x:f>
        <x:v>0.12551070354975663</x:v>
      </x:c>
      <x:c r="N45" s="20" t="n">
        <x:f>IF(C45&lt;=1,1,IF(C45&lt;5,(5-C45)/4,0))</x:f>
        <x:v>0</x:v>
      </x:c>
      <x:c r="O45" s="20" t="n">
        <x:f>IF(C45&lt;=1,0,IF(C45&lt;5,(C45-1)/4,IF(C45&lt;10,(10-C45)/5,0)))</x:f>
        <x:v>0</x:v>
      </x:c>
      <x:c r="P45" s="20" t="n">
        <x:f>IF(C45&lt;=5,0,IF(C45&lt;10,(C45-5)/5,IF(C45&lt;20,(20-C45)/10,0)))</x:f>
        <x:v>0</x:v>
      </x:c>
      <x:c r="Q45" s="20" t="n">
        <x:f>IF(C45&lt;=10,0,IF(C45&lt;20,(C45-10)/10,IF(C45&lt;30,(30-C45)/10,0)))</x:f>
        <x:v>0</x:v>
      </x:c>
      <x:c r="R45" s="20" t="n">
        <x:f>IF(C45&lt;=20,0,IF(C45&lt;30,(C45-20)/10,1))</x:f>
        <x:v>1</x:v>
      </x:c>
    </x:row>
    <x:row r="46" ht="20" customHeight="1">
      <x:c r="A46" s="2"/>
      <x:c r="B46" s="2"/>
      <x:c r="C46" s="2" t="n">
        <x:v>40</x:v>
      </x:c>
      <x:c r="D46" s="46" t="n">
        <x:f>IF(C46=0,1,(1-EXP(-C46/'Sources'!$D$10))/(C46/'Sources'!$D$10))</x:f>
        <x:v>0.04661374194855773</x:v>
      </x:c>
      <x:c r="E46" s="46" t="n">
        <x:f>EXP(-C46/'Sources'!$D$10)</x:f>
        <x:v>4.820847549868834e-10</x:v>
      </x:c>
      <x:c r="F46" s="46" t="n">
        <x:f>IF(C46=0,1,(1-EXP(-C46/'Sources'!$D$11))/(C46/'Sources'!$D$11))</x:f>
        <x:v>0.36183003169731787</x:v>
      </x:c>
      <x:c r="G46" s="46" t="n">
        <x:f>EXP(-C46/'Sources'!$D$11)</x:f>
        <x:v>0.07828791475735783</x:v>
      </x:c>
      <x:c r="H46" s="47" t="n">
        <x:f>('Sources'!$D$6+'Sources'!$D$7*D46+'Sources'!$D$8*(D46-E46)+'Sources'!$D$9*(F46-G46))/100</x:f>
        <x:v>0.05275290628059816</x:v>
      </x:c>
      <x:c r="I46" s="20" t="n">
        <x:f>-C46*H46</x:f>
        <x:v>-2.110116251223926</x:v>
      </x:c>
      <x:c r="J46" s="20" t="n">
        <x:f>EXP(I46)</x:f>
        <x:v>0.12122387319059169</x:v>
      </x:c>
      <x:c r="K46" s="46" t="n">
        <x:f>IF(C46&lt;=30,I46,IF('Controls'!$F$14=1,I46,IF('Controls'!$F$14=2,$I$36+(C46-30)*($I$36-$I$35),-C46*$H$36)))</x:f>
        <x:v>-2.110116251223926</x:v>
      </x:c>
      <x:c r="L46" s="48" t="n">
        <x:f>'Controls'!$F$8+N46*'Controls'!$F$9+O46*'Controls'!$F$10+P46*'Controls'!$F$11+Q46*'Controls'!$F$12+R46*'Controls'!$F$13</x:f>
        <x:v>0</x:v>
      </x:c>
      <x:c r="M46" s="20" t="n">
        <x:f>EXP(K46-C46*L46)</x:f>
        <x:v>0.12122387319059169</x:v>
      </x:c>
      <x:c r="N46" s="20" t="n">
        <x:f>IF(C46&lt;=1,1,IF(C46&lt;5,(5-C46)/4,0))</x:f>
        <x:v>0</x:v>
      </x:c>
      <x:c r="O46" s="20" t="n">
        <x:f>IF(C46&lt;=1,0,IF(C46&lt;5,(C46-1)/4,IF(C46&lt;10,(10-C46)/5,0)))</x:f>
        <x:v>0</x:v>
      </x:c>
      <x:c r="P46" s="20" t="n">
        <x:f>IF(C46&lt;=5,0,IF(C46&lt;10,(C46-5)/5,IF(C46&lt;20,(20-C46)/10,0)))</x:f>
        <x:v>0</x:v>
      </x:c>
      <x:c r="Q46" s="20" t="n">
        <x:f>IF(C46&lt;=10,0,IF(C46&lt;20,(C46-10)/10,IF(C46&lt;30,(30-C46)/10,0)))</x:f>
        <x:v>0</x:v>
      </x:c>
      <x:c r="R46" s="20" t="n">
        <x:f>IF(C46&lt;=20,0,IF(C46&lt;30,(C46-20)/10,1))</x:f>
        <x:v>1</x:v>
      </x:c>
    </x:row>
    <x:row r="47" ht="20" customHeight="1">
      <x:c r="A47" s="2"/>
      <x:c r="B47" s="2"/>
      <x:c r="C47" s="2" t="n">
        <x:v>41</x:v>
      </x:c>
      <x:c r="D47" s="46" t="n">
        <x:f>IF(C47=0,1,(1-EXP(-C47/'Sources'!$D$10))/(C47/'Sources'!$D$10))</x:f>
        <x:v>0.045476821422327666</x:v>
      </x:c>
      <x:c r="E47" s="46" t="n">
        <x:f>EXP(-C47/'Sources'!$D$10)</x:f>
        <x:v>2.8196907713797524e-10</x:v>
      </x:c>
      <x:c r="F47" s="46" t="n">
        <x:f>IF(C47=0,1,(1-EXP(-C47/'Sources'!$D$11))/(C47/'Sources'!$D$11))</x:f>
        <x:v>0.3548548395892202</x:v>
      </x:c>
      <x:c r="G47" s="46" t="n">
        <x:f>EXP(-C47/'Sources'!$D$11)</x:f>
        <x:v>0.07345766066599806</x:v>
      </x:c>
      <x:c r="H47" s="47" t="n">
        <x:f>('Sources'!$D$6+'Sources'!$D$7*D47+'Sources'!$D$8*(D47-E47)+'Sources'!$D$9*(F47-G47))/100</x:f>
        <x:v>0.05228170101213512</x:v>
      </x:c>
      <x:c r="I47" s="20" t="n">
        <x:f>-C47*H47</x:f>
        <x:v>-2.14354974149754</x:v>
      </x:c>
      <x:c r="J47" s="20" t="n">
        <x:f>EXP(I47)</x:f>
        <x:v>0.11723793913141038</x:v>
      </x:c>
      <x:c r="K47" s="46" t="n">
        <x:f>IF(C47&lt;=30,I47,IF('Controls'!$F$14=1,I47,IF('Controls'!$F$14=2,$I$36+(C47-30)*($I$36-$I$35),-C47*$H$36)))</x:f>
        <x:v>-2.14354974149754</x:v>
      </x:c>
      <x:c r="L47" s="48" t="n">
        <x:f>'Controls'!$F$8+N47*'Controls'!$F$9+O47*'Controls'!$F$10+P47*'Controls'!$F$11+Q47*'Controls'!$F$12+R47*'Controls'!$F$13</x:f>
        <x:v>0</x:v>
      </x:c>
      <x:c r="M47" s="20" t="n">
        <x:f>EXP(K47-C47*L47)</x:f>
        <x:v>0.11723793913141038</x:v>
      </x:c>
      <x:c r="N47" s="20" t="n">
        <x:f>IF(C47&lt;=1,1,IF(C47&lt;5,(5-C47)/4,0))</x:f>
        <x:v>0</x:v>
      </x:c>
      <x:c r="O47" s="20" t="n">
        <x:f>IF(C47&lt;=1,0,IF(C47&lt;5,(C47-1)/4,IF(C47&lt;10,(10-C47)/5,0)))</x:f>
        <x:v>0</x:v>
      </x:c>
      <x:c r="P47" s="20" t="n">
        <x:f>IF(C47&lt;=5,0,IF(C47&lt;10,(C47-5)/5,IF(C47&lt;20,(20-C47)/10,0)))</x:f>
        <x:v>0</x:v>
      </x:c>
      <x:c r="Q47" s="20" t="n">
        <x:f>IF(C47&lt;=10,0,IF(C47&lt;20,(C47-10)/10,IF(C47&lt;30,(30-C47)/10,0)))</x:f>
        <x:v>0</x:v>
      </x:c>
      <x:c r="R47" s="20" t="n">
        <x:f>IF(C47&lt;=20,0,IF(C47&lt;30,(C47-20)/10,1))</x:f>
        <x:v>1</x:v>
      </x:c>
    </x:row>
    <x:row r="48" ht="20" customHeight="1">
      <x:c r="A48" s="2"/>
      <x:c r="B48" s="2"/>
      <x:c r="C48" s="2" t="n">
        <x:v>42</x:v>
      </x:c>
      <x:c r="D48" s="46" t="n">
        <x:f>IF(C48=0,1,(1-EXP(-C48/'Sources'!$D$10))/(C48/'Sources'!$D$10))</x:f>
        <x:v>0.04439403996508747</x:v>
      </x:c>
      <x:c r="E48" s="46" t="n">
        <x:f>EXP(-C48/'Sources'!$D$10)</x:f>
        <x:v>1.649223702670393e-10</x:v>
      </x:c>
      <x:c r="F48" s="46" t="n">
        <x:f>IF(C48=0,1,(1-EXP(-C48/'Sources'!$D$11))/(C48/'Sources'!$D$11))</x:f>
        <x:v>0.34810037894655793</x:v>
      </x:c>
      <x:c r="G48" s="46" t="n">
        <x:f>EXP(-C48/'Sources'!$D$11)</x:f>
        <x:v>0.06892542644985666</x:v>
      </x:c>
      <x:c r="H48" s="47" t="n">
        <x:f>('Sources'!$D$6+'Sources'!$D$7*D48+'Sources'!$D$8*(D48-E48)+'Sources'!$D$9*(F48-G48))/100</x:f>
        <x:v>0.051802264733643175</x:v>
      </x:c>
      <x:c r="I48" s="20" t="n">
        <x:f>-C48*H48</x:f>
        <x:v>-2.1756951188130134</x:v>
      </x:c>
      <x:c r="J48" s="20" t="n">
        <x:f>EXP(I48)</x:f>
        <x:v>0.11352920994664811</x:v>
      </x:c>
      <x:c r="K48" s="46" t="n">
        <x:f>IF(C48&lt;=30,I48,IF('Controls'!$F$14=1,I48,IF('Controls'!$F$14=2,$I$36+(C48-30)*($I$36-$I$35),-C48*$H$36)))</x:f>
        <x:v>-2.1756951188130134</x:v>
      </x:c>
      <x:c r="L48" s="48" t="n">
        <x:f>'Controls'!$F$8+N48*'Controls'!$F$9+O48*'Controls'!$F$10+P48*'Controls'!$F$11+Q48*'Controls'!$F$12+R48*'Controls'!$F$13</x:f>
        <x:v>0</x:v>
      </x:c>
      <x:c r="M48" s="20" t="n">
        <x:f>EXP(K48-C48*L48)</x:f>
        <x:v>0.11352920994664811</x:v>
      </x:c>
      <x:c r="N48" s="20" t="n">
        <x:f>IF(C48&lt;=1,1,IF(C48&lt;5,(5-C48)/4,0))</x:f>
        <x:v>0</x:v>
      </x:c>
      <x:c r="O48" s="20" t="n">
        <x:f>IF(C48&lt;=1,0,IF(C48&lt;5,(C48-1)/4,IF(C48&lt;10,(10-C48)/5,0)))</x:f>
        <x:v>0</x:v>
      </x:c>
      <x:c r="P48" s="20" t="n">
        <x:f>IF(C48&lt;=5,0,IF(C48&lt;10,(C48-5)/5,IF(C48&lt;20,(20-C48)/10,0)))</x:f>
        <x:v>0</x:v>
      </x:c>
      <x:c r="Q48" s="20" t="n">
        <x:f>IF(C48&lt;=10,0,IF(C48&lt;20,(C48-10)/10,IF(C48&lt;30,(30-C48)/10,0)))</x:f>
        <x:v>0</x:v>
      </x:c>
      <x:c r="R48" s="20" t="n">
        <x:f>IF(C48&lt;=20,0,IF(C48&lt;30,(C48-20)/10,1))</x:f>
        <x:v>1</x:v>
      </x:c>
    </x:row>
    <x:row r="49" ht="20" customHeight="1">
      <x:c r="A49" s="2"/>
      <x:c r="B49" s="2"/>
      <x:c r="C49" s="2" t="n">
        <x:v>43</x:v>
      </x:c>
      <x:c r="D49" s="46" t="n">
        <x:f>IF(C49=0,1,(1-EXP(-C49/'Sources'!$D$10))/(C49/'Sources'!$D$10))</x:f>
        <x:v>0.04336162043398421</x:v>
      </x:c>
      <x:c r="E49" s="46" t="n">
        <x:f>EXP(-C49/'Sources'!$D$10)</x:f>
        <x:v>9.646230888356952e-11</x:v>
      </x:c>
      <x:c r="F49" s="46" t="n">
        <x:f>IF(C49=0,1,(1-EXP(-C49/'Sources'!$D$11))/(C49/'Sources'!$D$11))</x:f>
        <x:v>0.3415579645181719</x:v>
      </x:c>
      <x:c r="G49" s="46" t="n">
        <x:f>EXP(-C49/'Sources'!$D$11)</x:f>
        <x:v>0.06467282470232001</x:v>
      </x:c>
      <x:c r="H49" s="47" t="n">
        <x:f>('Sources'!$D$6+'Sources'!$D$7*D49+'Sources'!$D$8*(D49-E49)+'Sources'!$D$9*(F49-G49))/100</x:f>
        <x:v>0.05131590839354251</x:v>
      </x:c>
      <x:c r="I49" s="20" t="n">
        <x:f>-C49*H49</x:f>
        <x:v>-2.206584060922328</x:v>
      </x:c>
      <x:c r="J49" s="20" t="n">
        <x:f>EXP(I49)</x:f>
        <x:v>0.11007602000568631</x:v>
      </x:c>
      <x:c r="K49" s="46" t="n">
        <x:f>IF(C49&lt;=30,I49,IF('Controls'!$F$14=1,I49,IF('Controls'!$F$14=2,$I$36+(C49-30)*($I$36-$I$35),-C49*$H$36)))</x:f>
        <x:v>-2.206584060922328</x:v>
      </x:c>
      <x:c r="L49" s="48" t="n">
        <x:f>'Controls'!$F$8+N49*'Controls'!$F$9+O49*'Controls'!$F$10+P49*'Controls'!$F$11+Q49*'Controls'!$F$12+R49*'Controls'!$F$13</x:f>
        <x:v>0</x:v>
      </x:c>
      <x:c r="M49" s="20" t="n">
        <x:f>EXP(K49-C49*L49)</x:f>
        <x:v>0.11007602000568631</x:v>
      </x:c>
      <x:c r="N49" s="20" t="n">
        <x:f>IF(C49&lt;=1,1,IF(C49&lt;5,(5-C49)/4,0))</x:f>
        <x:v>0</x:v>
      </x:c>
      <x:c r="O49" s="20" t="n">
        <x:f>IF(C49&lt;=1,0,IF(C49&lt;5,(C49-1)/4,IF(C49&lt;10,(10-C49)/5,0)))</x:f>
        <x:v>0</x:v>
      </x:c>
      <x:c r="P49" s="20" t="n">
        <x:f>IF(C49&lt;=5,0,IF(C49&lt;10,(C49-5)/5,IF(C49&lt;20,(20-C49)/10,0)))</x:f>
        <x:v>0</x:v>
      </x:c>
      <x:c r="Q49" s="20" t="n">
        <x:f>IF(C49&lt;=10,0,IF(C49&lt;20,(C49-10)/10,IF(C49&lt;30,(30-C49)/10,0)))</x:f>
        <x:v>0</x:v>
      </x:c>
      <x:c r="R49" s="20" t="n">
        <x:f>IF(C49&lt;=20,0,IF(C49&lt;30,(C49-20)/10,1))</x:f>
        <x:v>1</x:v>
      </x:c>
    </x:row>
    <x:row r="50" ht="20" customHeight="1">
      <x:c r="A50" s="2"/>
      <x:c r="B50" s="2"/>
      <x:c r="C50" s="2" t="n">
        <x:v>44</x:v>
      </x:c>
      <x:c r="D50" s="46" t="n">
        <x:f>IF(C50=0,1,(1-EXP(-C50/'Sources'!$D$10))/(C50/'Sources'!$D$10))</x:f>
        <x:v>0.0423761290621814</x:v>
      </x:c>
      <x:c r="E50" s="46" t="n">
        <x:f>EXP(-C50/'Sources'!$D$10)</x:f>
        <x:v>5.6420345039200725e-11</x:v>
      </x:c>
      <x:c r="F50" s="46" t="n">
        <x:f>IF(C50=0,1,(1-EXP(-C50/'Sources'!$D$11))/(C50/'Sources'!$D$11))</x:f>
        <x:v>0.33521929575419485</x:v>
      </x:c>
      <x:c r="G50" s="46" t="n">
        <x:f>EXP(-C50/'Sources'!$D$11)</x:f>
        <x:v>0.060682602493868414</x:v>
      </x:c>
      <x:c r="H50" s="47" t="n">
        <x:f>('Sources'!$D$6+'Sources'!$D$7*D50+'Sources'!$D$8*(D50-E50)+'Sources'!$D$9*(F50-G50))/100</x:f>
        <x:v>0.0508238463657338</x:v>
      </x:c>
      <x:c r="I50" s="20" t="n">
        <x:f>-C50*H50</x:f>
        <x:v>-2.2362492400922873</x:v>
      </x:c>
      <x:c r="J50" s="20" t="n">
        <x:f>EXP(I50)</x:f>
        <x:v>0.10685855444619108</x:v>
      </x:c>
      <x:c r="K50" s="46" t="n">
        <x:f>IF(C50&lt;=30,I50,IF('Controls'!$F$14=1,I50,IF('Controls'!$F$14=2,$I$36+(C50-30)*($I$36-$I$35),-C50*$H$36)))</x:f>
        <x:v>-2.2362492400922873</x:v>
      </x:c>
      <x:c r="L50" s="48" t="n">
        <x:f>'Controls'!$F$8+N50*'Controls'!$F$9+O50*'Controls'!$F$10+P50*'Controls'!$F$11+Q50*'Controls'!$F$12+R50*'Controls'!$F$13</x:f>
        <x:v>0</x:v>
      </x:c>
      <x:c r="M50" s="20" t="n">
        <x:f>EXP(K50-C50*L50)</x:f>
        <x:v>0.10685855444619108</x:v>
      </x:c>
      <x:c r="N50" s="20" t="n">
        <x:f>IF(C50&lt;=1,1,IF(C50&lt;5,(5-C50)/4,0))</x:f>
        <x:v>0</x:v>
      </x:c>
      <x:c r="O50" s="20" t="n">
        <x:f>IF(C50&lt;=1,0,IF(C50&lt;5,(C50-1)/4,IF(C50&lt;10,(10-C50)/5,0)))</x:f>
        <x:v>0</x:v>
      </x:c>
      <x:c r="P50" s="20" t="n">
        <x:f>IF(C50&lt;=5,0,IF(C50&lt;10,(C50-5)/5,IF(C50&lt;20,(20-C50)/10,0)))</x:f>
        <x:v>0</x:v>
      </x:c>
      <x:c r="Q50" s="20" t="n">
        <x:f>IF(C50&lt;=10,0,IF(C50&lt;20,(C50-10)/10,IF(C50&lt;30,(30-C50)/10,0)))</x:f>
        <x:v>0</x:v>
      </x:c>
      <x:c r="R50" s="20" t="n">
        <x:f>IF(C50&lt;=20,0,IF(C50&lt;30,(C50-20)/10,1))</x:f>
        <x:v>1</x:v>
      </x:c>
    </x:row>
    <x:row r="51" ht="20" customHeight="1">
      <x:c r="A51" s="2"/>
      <x:c r="B51" s="2"/>
      <x:c r="C51" s="2" t="n">
        <x:v>45</x:v>
      </x:c>
      <x:c r="D51" s="46" t="n">
        <x:f>IF(C51=0,1,(1-EXP(-C51/'Sources'!$D$10))/(C51/'Sources'!$D$10))</x:f>
        <x:v>0.04143443730621444</x:v>
      </x:c>
      <x:c r="E51" s="46" t="n">
        <x:f>EXP(-C51/'Sources'!$D$10)</x:f>
        <x:v>3.299999109688185e-11</x:v>
      </x:c>
      <x:c r="F51" s="46" t="n">
        <x:f>IF(C51=0,1,(1-EXP(-C51/'Sources'!$D$11))/(C51/'Sources'!$D$11))</x:f>
        <x:v>0.3290764384860815</x:v>
      </x:c>
      <x:c r="G51" s="46" t="n">
        <x:f>EXP(-C51/'Sources'!$D$11)</x:f>
        <x:v>0.05693857137643696</x:v>
      </x:c>
      <x:c r="H51" s="47" t="n">
        <x:f>('Sources'!$D$6+'Sources'!$D$7*D51+'Sources'!$D$8*(D51-E51)+'Sources'!$D$9*(F51-G51))/100</x:f>
        <x:v>0.05032720177342401</x:v>
      </x:c>
      <x:c r="I51" s="20" t="n">
        <x:f>-C51*H51</x:f>
        <x:v>-2.2647240798040804</x:v>
      </x:c>
      <x:c r="J51" s="20" t="n">
        <x:f>EXP(I51)</x:f>
        <x:v>0.10385868729702505</x:v>
      </x:c>
      <x:c r="K51" s="46" t="n">
        <x:f>IF(C51&lt;=30,I51,IF('Controls'!$F$14=1,I51,IF('Controls'!$F$14=2,$I$36+(C51-30)*($I$36-$I$35),-C51*$H$36)))</x:f>
        <x:v>-2.2647240798040804</x:v>
      </x:c>
      <x:c r="L51" s="48" t="n">
        <x:f>'Controls'!$F$8+N51*'Controls'!$F$9+O51*'Controls'!$F$10+P51*'Controls'!$F$11+Q51*'Controls'!$F$12+R51*'Controls'!$F$13</x:f>
        <x:v>0</x:v>
      </x:c>
      <x:c r="M51" s="20" t="n">
        <x:f>EXP(K51-C51*L51)</x:f>
        <x:v>0.10385868729702505</x:v>
      </x:c>
      <x:c r="N51" s="20" t="n">
        <x:f>IF(C51&lt;=1,1,IF(C51&lt;5,(5-C51)/4,0))</x:f>
        <x:v>0</x:v>
      </x:c>
      <x:c r="O51" s="20" t="n">
        <x:f>IF(C51&lt;=1,0,IF(C51&lt;5,(C51-1)/4,IF(C51&lt;10,(10-C51)/5,0)))</x:f>
        <x:v>0</x:v>
      </x:c>
      <x:c r="P51" s="20" t="n">
        <x:f>IF(C51&lt;=5,0,IF(C51&lt;10,(C51-5)/5,IF(C51&lt;20,(20-C51)/10,0)))</x:f>
        <x:v>0</x:v>
      </x:c>
      <x:c r="Q51" s="20" t="n">
        <x:f>IF(C51&lt;=10,0,IF(C51&lt;20,(C51-10)/10,IF(C51&lt;30,(30-C51)/10,0)))</x:f>
        <x:v>0</x:v>
      </x:c>
      <x:c r="R51" s="20" t="n">
        <x:f>IF(C51&lt;=20,0,IF(C51&lt;30,(C51-20)/10,1))</x:f>
        <x:v>1</x:v>
      </x:c>
    </x:row>
    <x:row r="52" ht="20" customHeight="1">
      <x:c r="A52" s="2"/>
      <x:c r="B52" s="2"/>
      <x:c r="C52" s="2" t="n">
        <x:v>46</x:v>
      </x:c>
      <x:c r="D52" s="46" t="n">
        <x:f>IF(C52=0,1,(1-EXP(-C52/'Sources'!$D$10))/(C52/'Sources'!$D$10))</x:f>
        <x:v>0.040533688669678075</x:v>
      </x:c>
      <x:c r="E52" s="46" t="n">
        <x:f>EXP(-C52/'Sources'!$D$10)</x:f>
        <x:v>1.9301537621537896e-11</x:v>
      </x:c>
      <x:c r="F52" s="46" t="n">
        <x:f>IF(C52=0,1,(1-EXP(-C52/'Sources'!$D$11))/(C52/'Sources'!$D$11))</x:f>
        <x:v>0.3231218075219964</x:v>
      </x:c>
      <x:c r="G52" s="46" t="n">
        <x:f>EXP(-C52/'Sources'!$D$11)</x:f>
        <x:v>0.053425541706409</x:v>
      </x:c>
      <x:c r="H52" s="47" t="n">
        <x:f>('Sources'!$D$6+'Sources'!$D$7*D52+'Sources'!$D$8*(D52-E52)+'Sources'!$D$9*(F52-G52))/100</x:f>
        <x:v>0.049827011688834216</x:v>
      </x:c>
      <x:c r="I52" s="20" t="n">
        <x:f>-C52*H52</x:f>
        <x:v>-2.292042537686374</x:v>
      </x:c>
      <x:c r="J52" s="20" t="n">
        <x:f>EXP(I52)</x:f>
        <x:v>0.10105983238525698</x:v>
      </x:c>
      <x:c r="K52" s="46" t="n">
        <x:f>IF(C52&lt;=30,I52,IF('Controls'!$F$14=1,I52,IF('Controls'!$F$14=2,$I$36+(C52-30)*($I$36-$I$35),-C52*$H$36)))</x:f>
        <x:v>-2.292042537686374</x:v>
      </x:c>
      <x:c r="L52" s="48" t="n">
        <x:f>'Controls'!$F$8+N52*'Controls'!$F$9+O52*'Controls'!$F$10+P52*'Controls'!$F$11+Q52*'Controls'!$F$12+R52*'Controls'!$F$13</x:f>
        <x:v>0</x:v>
      </x:c>
      <x:c r="M52" s="20" t="n">
        <x:f>EXP(K52-C52*L52)</x:f>
        <x:v>0.10105983238525698</x:v>
      </x:c>
      <x:c r="N52" s="20" t="n">
        <x:f>IF(C52&lt;=1,1,IF(C52&lt;5,(5-C52)/4,0))</x:f>
        <x:v>0</x:v>
      </x:c>
      <x:c r="O52" s="20" t="n">
        <x:f>IF(C52&lt;=1,0,IF(C52&lt;5,(C52-1)/4,IF(C52&lt;10,(10-C52)/5,0)))</x:f>
        <x:v>0</x:v>
      </x:c>
      <x:c r="P52" s="20" t="n">
        <x:f>IF(C52&lt;=5,0,IF(C52&lt;10,(C52-5)/5,IF(C52&lt;20,(20-C52)/10,0)))</x:f>
        <x:v>0</x:v>
      </x:c>
      <x:c r="Q52" s="20" t="n">
        <x:f>IF(C52&lt;=10,0,IF(C52&lt;20,(C52-10)/10,IF(C52&lt;30,(30-C52)/10,0)))</x:f>
        <x:v>0</x:v>
      </x:c>
      <x:c r="R52" s="20" t="n">
        <x:f>IF(C52&lt;=20,0,IF(C52&lt;30,(C52-20)/10,1))</x:f>
        <x:v>1</x:v>
      </x:c>
    </x:row>
    <x:row r="53" ht="20" customHeight="1">
      <x:c r="A53" s="2"/>
      <x:c r="B53" s="2"/>
      <x:c r="C53" s="2" t="n">
        <x:v>47</x:v>
      </x:c>
      <x:c r="D53" s="46" t="n">
        <x:f>IF(C53=0,1,(1-EXP(-C53/'Sources'!$D$10))/(C53/'Sources'!$D$10))</x:f>
        <x:v>0.03967126976213044</x:v>
      </x:c>
      <x:c r="E53" s="46" t="n">
        <x:f>EXP(-C53/'Sources'!$D$10)</x:f>
        <x:v>1.1289377426251628e-11</x:v>
      </x:c>
      <x:c r="F53" s="46" t="n">
        <x:f>IF(C53=0,1,(1-EXP(-C53/'Sources'!$D$11))/(C53/'Sources'!$D$11))</x:f>
        <x:v>0.317348150110249</x:v>
      </x:c>
      <x:c r="G53" s="46" t="n">
        <x:f>EXP(-C53/'Sources'!$D$11)</x:f>
        <x:v>0.05012926101978819</x:v>
      </x:c>
      <x:c r="H53" s="47" t="n">
        <x:f>('Sources'!$D$6+'Sources'!$D$7*D53+'Sources'!$D$8*(D53-E53)+'Sources'!$D$9*(F53-G53))/100</x:f>
        <x:v>0.049324232178132636</x:v>
      </x:c>
      <x:c r="I53" s="20" t="n">
        <x:f>-C53*H53</x:f>
        <x:v>-2.318238912372234</x:v>
      </x:c>
      <x:c r="J53" s="20" t="n">
        <x:f>EXP(I53)</x:f>
        <x:v>0.09844680648391016</x:v>
      </x:c>
      <x:c r="K53" s="46" t="n">
        <x:f>IF(C53&lt;=30,I53,IF('Controls'!$F$14=1,I53,IF('Controls'!$F$14=2,$I$36+(C53-30)*($I$36-$I$35),-C53*$H$36)))</x:f>
        <x:v>-2.318238912372234</x:v>
      </x:c>
      <x:c r="L53" s="48" t="n">
        <x:f>'Controls'!$F$8+N53*'Controls'!$F$9+O53*'Controls'!$F$10+P53*'Controls'!$F$11+Q53*'Controls'!$F$12+R53*'Controls'!$F$13</x:f>
        <x:v>0</x:v>
      </x:c>
      <x:c r="M53" s="20" t="n">
        <x:f>EXP(K53-C53*L53)</x:f>
        <x:v>0.09844680648391016</x:v>
      </x:c>
      <x:c r="N53" s="20" t="n">
        <x:f>IF(C53&lt;=1,1,IF(C53&lt;5,(5-C53)/4,0))</x:f>
        <x:v>0</x:v>
      </x:c>
      <x:c r="O53" s="20" t="n">
        <x:f>IF(C53&lt;=1,0,IF(C53&lt;5,(C53-1)/4,IF(C53&lt;10,(10-C53)/5,0)))</x:f>
        <x:v>0</x:v>
      </x:c>
      <x:c r="P53" s="20" t="n">
        <x:f>IF(C53&lt;=5,0,IF(C53&lt;10,(C53-5)/5,IF(C53&lt;20,(20-C53)/10,0)))</x:f>
        <x:v>0</x:v>
      </x:c>
      <x:c r="Q53" s="20" t="n">
        <x:f>IF(C53&lt;=10,0,IF(C53&lt;20,(C53-10)/10,IF(C53&lt;30,(30-C53)/10,0)))</x:f>
        <x:v>0</x:v>
      </x:c>
      <x:c r="R53" s="20" t="n">
        <x:f>IF(C53&lt;=20,0,IF(C53&lt;30,(C53-20)/10,1))</x:f>
        <x:v>1</x:v>
      </x:c>
    </x:row>
    <x:row r="54" ht="20" customHeight="1">
      <x:c r="A54" s="2"/>
      <x:c r="B54" s="2"/>
      <x:c r="C54" s="2" t="n">
        <x:v>48</x:v>
      </x:c>
      <x:c r="D54" s="46" t="n">
        <x:f>IF(C54=0,1,(1-EXP(-C54/'Sources'!$D$10))/(C54/'Sources'!$D$10))</x:f>
        <x:v>0.03884478497560142</x:v>
      </x:c>
      <x:c r="E54" s="46" t="n">
        <x:f>EXP(-C54/'Sources'!$D$10)</x:f>
        <x:v>6.603103088022503e-12</x:v>
      </x:c>
      <x:c r="F54" s="46" t="n">
        <x:f>IF(C54=0,1,(1-EXP(-C54/'Sources'!$D$11))/(C54/'Sources'!$D$11))</x:f>
        <x:v>0.31174853022597554</x:v>
      </x:c>
      <x:c r="G54" s="46" t="n">
        <x:f>EXP(-C54/'Sources'!$D$11)</x:f>
        <x:v>0.04703635620953561</x:v>
      </x:c>
      <x:c r="H54" s="47" t="n">
        <x:f>('Sources'!$D$6+'Sources'!$D$7*D54+'Sources'!$D$8*(D54-E54)+'Sources'!$D$9*(F54-G54))/100</x:f>
        <x:v>0.04881974316989266</x:v>
      </x:c>
      <x:c r="I54" s="20" t="n">
        <x:f>-C54*H54</x:f>
        <x:v>-2.343347672154848</x:v>
      </x:c>
      <x:c r="J54" s="20" t="n">
        <x:f>EXP(I54)</x:f>
        <x:v>0.09600570404395972</x:v>
      </x:c>
      <x:c r="K54" s="46" t="n">
        <x:f>IF(C54&lt;=30,I54,IF('Controls'!$F$14=1,I54,IF('Controls'!$F$14=2,$I$36+(C54-30)*($I$36-$I$35),-C54*$H$36)))</x:f>
        <x:v>-2.343347672154848</x:v>
      </x:c>
      <x:c r="L54" s="48" t="n">
        <x:f>'Controls'!$F$8+N54*'Controls'!$F$9+O54*'Controls'!$F$10+P54*'Controls'!$F$11+Q54*'Controls'!$F$12+R54*'Controls'!$F$13</x:f>
        <x:v>0</x:v>
      </x:c>
      <x:c r="M54" s="20" t="n">
        <x:f>EXP(K54-C54*L54)</x:f>
        <x:v>0.09600570404395972</x:v>
      </x:c>
      <x:c r="N54" s="20" t="n">
        <x:f>IF(C54&lt;=1,1,IF(C54&lt;5,(5-C54)/4,0))</x:f>
        <x:v>0</x:v>
      </x:c>
      <x:c r="O54" s="20" t="n">
        <x:f>IF(C54&lt;=1,0,IF(C54&lt;5,(C54-1)/4,IF(C54&lt;10,(10-C54)/5,0)))</x:f>
        <x:v>0</x:v>
      </x:c>
      <x:c r="P54" s="20" t="n">
        <x:f>IF(C54&lt;=5,0,IF(C54&lt;10,(C54-5)/5,IF(C54&lt;20,(20-C54)/10,0)))</x:f>
        <x:v>0</x:v>
      </x:c>
      <x:c r="Q54" s="20" t="n">
        <x:f>IF(C54&lt;=10,0,IF(C54&lt;20,(C54-10)/10,IF(C54&lt;30,(30-C54)/10,0)))</x:f>
        <x:v>0</x:v>
      </x:c>
      <x:c r="R54" s="20" t="n">
        <x:f>IF(C54&lt;=20,0,IF(C54&lt;30,(C54-20)/10,1))</x:f>
        <x:v>1</x:v>
      </x:c>
    </x:row>
    <x:row r="55" ht="20" customHeight="1">
      <x:c r="A55" s="2"/>
      <x:c r="B55" s="2"/>
      <x:c r="C55" s="2" t="n">
        <x:v>49</x:v>
      </x:c>
      <x:c r="D55" s="46" t="n">
        <x:f>IF(C55=0,1,(1-EXP(-C55/'Sources'!$D$10))/(C55/'Sources'!$D$10))</x:f>
        <x:v>0.03805203426191793</x:v>
      </x:c>
      <x:c r="E55" s="46" t="n">
        <x:f>EXP(-C55/'Sources'!$D$10)</x:f>
        <x:v>3.862123547190958e-12</x:v>
      </x:c>
      <x:c r="F55" s="46" t="n">
        <x:f>IF(C55=0,1,(1-EXP(-C55/'Sources'!$D$11))/(C55/'Sources'!$D$11))</x:f>
        <x:v>0.3063163136386361</x:v>
      </x:c>
      <x:c r="G55" s="46" t="n">
        <x:f>EXP(-C55/'Sources'!$D$11)</x:f>
        <x:v>0.044134279270484</x:v>
      </x:c>
      <x:c r="H55" s="47" t="n">
        <x:f>('Sources'!$D$6+'Sources'!$D$7*D55+'Sources'!$D$8*(D55-E55)+'Sources'!$D$9*(F55-G55))/100</x:f>
        <x:v>0.048314353132404834</x:v>
      </x:c>
      <x:c r="I55" s="20" t="n">
        <x:f>-C55*H55</x:f>
        <x:v>-2.367403303487837</x:v>
      </x:c>
      <x:c r="J55" s="20" t="n">
        <x:f>EXP(I55)</x:f>
        <x:v>0.09372378278936265</x:v>
      </x:c>
      <x:c r="K55" s="46" t="n">
        <x:f>IF(C55&lt;=30,I55,IF('Controls'!$F$14=1,I55,IF('Controls'!$F$14=2,$I$36+(C55-30)*($I$36-$I$35),-C55*$H$36)))</x:f>
        <x:v>-2.367403303487837</x:v>
      </x:c>
      <x:c r="L55" s="48" t="n">
        <x:f>'Controls'!$F$8+N55*'Controls'!$F$9+O55*'Controls'!$F$10+P55*'Controls'!$F$11+Q55*'Controls'!$F$12+R55*'Controls'!$F$13</x:f>
        <x:v>0</x:v>
      </x:c>
      <x:c r="M55" s="20" t="n">
        <x:f>EXP(K55-C55*L55)</x:f>
        <x:v>0.09372378278936265</x:v>
      </x:c>
      <x:c r="N55" s="20" t="n">
        <x:f>IF(C55&lt;=1,1,IF(C55&lt;5,(5-C55)/4,0))</x:f>
        <x:v>0</x:v>
      </x:c>
      <x:c r="O55" s="20" t="n">
        <x:f>IF(C55&lt;=1,0,IF(C55&lt;5,(C55-1)/4,IF(C55&lt;10,(10-C55)/5,0)))</x:f>
        <x:v>0</x:v>
      </x:c>
      <x:c r="P55" s="20" t="n">
        <x:f>IF(C55&lt;=5,0,IF(C55&lt;10,(C55-5)/5,IF(C55&lt;20,(20-C55)/10,0)))</x:f>
        <x:v>0</x:v>
      </x:c>
      <x:c r="Q55" s="20" t="n">
        <x:f>IF(C55&lt;=10,0,IF(C55&lt;20,(C55-10)/10,IF(C55&lt;30,(30-C55)/10,0)))</x:f>
        <x:v>0</x:v>
      </x:c>
      <x:c r="R55" s="20" t="n">
        <x:f>IF(C55&lt;=20,0,IF(C55&lt;30,(C55-20)/10,1))</x:f>
        <x:v>1</x:v>
      </x:c>
    </x:row>
    <x:row r="56" ht="20" customHeight="1">
      <x:c r="A56" s="2"/>
      <x:c r="B56" s="2"/>
      <x:c r="C56" s="2" t="n">
        <x:v>50</x:v>
      </x:c>
      <x:c r="D56" s="46" t="n">
        <x:f>IF(C56=0,1,(1-EXP(-C56/'Sources'!$D$10))/(C56/'Sources'!$D$10))</x:f>
        <x:v>0.03729099357673936</x:v>
      </x:c>
      <x:c r="E56" s="46" t="n">
        <x:f>EXP(-C56/'Sources'!$D$10)</x:f>
        <x:v>2.2589376683855334e-12</x:v>
      </x:c>
      <x:c r="F56" s="46" t="n">
        <x:f>IF(C56=0,1,(1-EXP(-C56/'Sources'!$D$11))/(C56/'Sources'!$D$11))</x:f>
        <x:v>0.3010451537201406</x:v>
      </x:c>
      <x:c r="G56" s="46" t="n">
        <x:f>EXP(-C56/'Sources'!$D$11)</x:f>
        <x:v>0.04141125639171411</x:v>
      </x:c>
      <x:c r="H56" s="47" t="n">
        <x:f>('Sources'!$D$6+'Sources'!$D$7*D56+'Sources'!$D$8*(D56-E56)+'Sources'!$D$9*(F56-G56))/100</x:f>
        <x:v>0.04780880355067854</x:v>
      </x:c>
      <x:c r="I56" s="20" t="n">
        <x:f>-C56*H56</x:f>
        <x:v>-2.390440177533927</x:v>
      </x:c>
      <x:c r="J56" s="20" t="n">
        <x:f>EXP(I56)</x:f>
        <x:v>0.0915893594248313</x:v>
      </x:c>
      <x:c r="K56" s="46" t="n">
        <x:f>IF(C56&lt;=30,I56,IF('Controls'!$F$14=1,I56,IF('Controls'!$F$14=2,$I$36+(C56-30)*($I$36-$I$35),-C56*$H$36)))</x:f>
        <x:v>-2.390440177533927</x:v>
      </x:c>
      <x:c r="L56" s="48" t="n">
        <x:f>'Controls'!$F$8+N56*'Controls'!$F$9+O56*'Controls'!$F$10+P56*'Controls'!$F$11+Q56*'Controls'!$F$12+R56*'Controls'!$F$13</x:f>
        <x:v>0</x:v>
      </x:c>
      <x:c r="M56" s="20" t="n">
        <x:f>EXP(K56-C56*L56)</x:f>
        <x:v>0.0915893594248313</x:v>
      </x:c>
      <x:c r="N56" s="20" t="n">
        <x:f>IF(C56&lt;=1,1,IF(C56&lt;5,(5-C56)/4,0))</x:f>
        <x:v>0</x:v>
      </x:c>
      <x:c r="O56" s="20" t="n">
        <x:f>IF(C56&lt;=1,0,IF(C56&lt;5,(C56-1)/4,IF(C56&lt;10,(10-C56)/5,0)))</x:f>
        <x:v>0</x:v>
      </x:c>
      <x:c r="P56" s="20" t="n">
        <x:f>IF(C56&lt;=5,0,IF(C56&lt;10,(C56-5)/5,IF(C56&lt;20,(20-C56)/10,0)))</x:f>
        <x:v>0</x:v>
      </x:c>
      <x:c r="Q56" s="20" t="n">
        <x:f>IF(C56&lt;=10,0,IF(C56&lt;20,(C56-10)/10,IF(C56&lt;30,(30-C56)/10,0)))</x:f>
        <x:v>0</x:v>
      </x:c>
      <x:c r="R56" s="20" t="n">
        <x:f>IF(C56&lt;=20,0,IF(C56&lt;30,(C56-20)/10,1))</x:f>
        <x:v>1</x:v>
      </x:c>
    </x:row>
    <x:row r="57" ht="20" customHeight="1">
      <x:c r="A57" s="2"/>
      <x:c r="B57" s="2"/>
      <x:c r="C57" s="2" t="n">
        <x:v>51</x:v>
      </x:c>
      <x:c r="D57" s="46" t="n">
        <x:f>IF(C57=0,1,(1-EXP(-C57/'Sources'!$D$10))/(C57/'Sources'!$D$10))</x:f>
        <x:v>0.036559797624288556</x:v>
      </x:c>
      <x:c r="E57" s="46" t="n">
        <x:f>EXP(-C57/'Sources'!$D$10)</x:f>
        <x:v>1.3212418834613654e-12</x:v>
      </x:c>
      <x:c r="F57" s="46" t="n">
        <x:f>IF(C57=0,1,(1-EXP(-C57/'Sources'!$D$11))/(C57/'Sources'!$D$11))</x:f>
        <x:v>0.2959289779555386</x:v>
      </x:c>
      <x:c r="G57" s="46" t="n">
        <x:f>EXP(-C57/'Sources'!$D$11)</x:f>
        <x:v>0.03885624018985996</x:v>
      </x:c>
      <x:c r="H57" s="47" t="n">
        <x:f>('Sources'!$D$6+'Sources'!$D$7*D57+'Sources'!$D$8*(D57-E57)+'Sources'!$D$9*(F57-G57))/100</x:f>
        <x:v>0.04730377319826986</x:v>
      </x:c>
      <x:c r="I57" s="20" t="n">
        <x:f>-C57*H57</x:f>
        <x:v>-2.4124924331117628</x:v>
      </x:c>
      <x:c r="J57" s="20" t="n">
        <x:f>EXP(I57)</x:f>
        <x:v>0.08959171470279191</x:v>
      </x:c>
      <x:c r="K57" s="46" t="n">
        <x:f>IF(C57&lt;=30,I57,IF('Controls'!$F$14=1,I57,IF('Controls'!$F$14=2,$I$36+(C57-30)*($I$36-$I$35),-C57*$H$36)))</x:f>
        <x:v>-2.4124924331117628</x:v>
      </x:c>
      <x:c r="L57" s="48" t="n">
        <x:f>'Controls'!$F$8+N57*'Controls'!$F$9+O57*'Controls'!$F$10+P57*'Controls'!$F$11+Q57*'Controls'!$F$12+R57*'Controls'!$F$13</x:f>
        <x:v>0</x:v>
      </x:c>
      <x:c r="M57" s="20" t="n">
        <x:f>EXP(K57-C57*L57)</x:f>
        <x:v>0.08959171470279191</x:v>
      </x:c>
      <x:c r="N57" s="20" t="n">
        <x:f>IF(C57&lt;=1,1,IF(C57&lt;5,(5-C57)/4,0))</x:f>
        <x:v>0</x:v>
      </x:c>
      <x:c r="O57" s="20" t="n">
        <x:f>IF(C57&lt;=1,0,IF(C57&lt;5,(C57-1)/4,IF(C57&lt;10,(10-C57)/5,0)))</x:f>
        <x:v>0</x:v>
      </x:c>
      <x:c r="P57" s="20" t="n">
        <x:f>IF(C57&lt;=5,0,IF(C57&lt;10,(C57-5)/5,IF(C57&lt;20,(20-C57)/10,0)))</x:f>
        <x:v>0</x:v>
      </x:c>
      <x:c r="Q57" s="20" t="n">
        <x:f>IF(C57&lt;=10,0,IF(C57&lt;20,(C57-10)/10,IF(C57&lt;30,(30-C57)/10,0)))</x:f>
        <x:v>0</x:v>
      </x:c>
      <x:c r="R57" s="20" t="n">
        <x:f>IF(C57&lt;=20,0,IF(C57&lt;30,(C57-20)/10,1))</x:f>
        <x:v>1</x:v>
      </x:c>
    </x:row>
    <x:row r="58" ht="20" customHeight="1">
      <x:c r="A58" s="2"/>
      <x:c r="B58" s="2"/>
      <x:c r="C58" s="2" t="n">
        <x:v>52</x:v>
      </x:c>
      <x:c r="D58" s="46" t="n">
        <x:f>IF(C58=0,1,(1-EXP(-C58/'Sources'!$D$10))/(C58/'Sources'!$D$10))</x:f>
        <x:v>0.035856724593071904</x:v>
      </x:c>
      <x:c r="E58" s="46" t="n">
        <x:f>EXP(-C58/'Sources'!$D$10)</x:f>
        <x:v>7.727880848789318e-13</x:v>
      </x:c>
      <x:c r="F58" s="46" t="n">
        <x:f>IF(C58=0,1,(1-EXP(-C58/'Sources'!$D$11))/(C58/'Sources'!$D$11))</x:f>
        <x:v>0.2909619751202156</x:v>
      </x:c>
      <x:c r="G58" s="46" t="n">
        <x:f>EXP(-C58/'Sources'!$D$11)</x:f>
        <x:v>0.036458864889551676</x:v>
      </x:c>
      <x:c r="H58" s="47" t="n">
        <x:f>('Sources'!$D$6+'Sources'!$D$7*D58+'Sources'!$D$8*(D58-E58)+'Sources'!$D$9*(F58-G58))/100</x:f>
        <x:v>0.04679988220241293</x:v>
      </x:c>
      <x:c r="I58" s="20" t="n">
        <x:f>-C58*H58</x:f>
        <x:v>-2.433593874525472</x:v>
      </x:c>
      <x:c r="J58" s="20" t="n">
        <x:f>EXP(I58)</x:f>
        <x:v>0.08772100711094133</x:v>
      </x:c>
      <x:c r="K58" s="46" t="n">
        <x:f>IF(C58&lt;=30,I58,IF('Controls'!$F$14=1,I58,IF('Controls'!$F$14=2,$I$36+(C58-30)*($I$36-$I$35),-C58*$H$36)))</x:f>
        <x:v>-2.433593874525472</x:v>
      </x:c>
      <x:c r="L58" s="48" t="n">
        <x:f>'Controls'!$F$8+N58*'Controls'!$F$9+O58*'Controls'!$F$10+P58*'Controls'!$F$11+Q58*'Controls'!$F$12+R58*'Controls'!$F$13</x:f>
        <x:v>0</x:v>
      </x:c>
      <x:c r="M58" s="20" t="n">
        <x:f>EXP(K58-C58*L58)</x:f>
        <x:v>0.08772100711094133</x:v>
      </x:c>
      <x:c r="N58" s="20" t="n">
        <x:f>IF(C58&lt;=1,1,IF(C58&lt;5,(5-C58)/4,0))</x:f>
        <x:v>0</x:v>
      </x:c>
      <x:c r="O58" s="20" t="n">
        <x:f>IF(C58&lt;=1,0,IF(C58&lt;5,(C58-1)/4,IF(C58&lt;10,(10-C58)/5,0)))</x:f>
        <x:v>0</x:v>
      </x:c>
      <x:c r="P58" s="20" t="n">
        <x:f>IF(C58&lt;=5,0,IF(C58&lt;10,(C58-5)/5,IF(C58&lt;20,(20-C58)/10,0)))</x:f>
        <x:v>0</x:v>
      </x:c>
      <x:c r="Q58" s="20" t="n">
        <x:f>IF(C58&lt;=10,0,IF(C58&lt;20,(C58-10)/10,IF(C58&lt;30,(30-C58)/10,0)))</x:f>
        <x:v>0</x:v>
      </x:c>
      <x:c r="R58" s="20" t="n">
        <x:f>IF(C58&lt;=20,0,IF(C58&lt;30,(C58-20)/10,1))</x:f>
        <x:v>1</x:v>
      </x:c>
    </x:row>
    <x:row r="59" ht="20" customHeight="1">
      <x:c r="A59" s="2"/>
      <x:c r="B59" s="2"/>
      <x:c r="C59" s="2" t="n">
        <x:v>53</x:v>
      </x:c>
      <x:c r="D59" s="46" t="n">
        <x:f>IF(C59=0,1,(1-EXP(-C59/'Sources'!$D$10))/(C59/'Sources'!$D$10))</x:f>
        <x:v>0.035180182619629005</x:v>
      </x:c>
      <x:c r="E59" s="46" t="n">
        <x:f>EXP(-C59/'Sources'!$D$10)</x:f>
        <x:v>4.520000702417257e-13</x:v>
      </x:c>
      <x:c r="F59" s="46" t="n">
        <x:f>IF(C59=0,1,(1-EXP(-C59/'Sources'!$D$11))/(C59/'Sources'!$D$11))</x:f>
        <x:v>0.2861385830894412</x:v>
      </x:c>
      <x:c r="G59" s="46" t="n">
        <x:f>EXP(-C59/'Sources'!$D$11)</x:f>
        <x:v>0.03420940426916211</x:v>
      </x:c>
      <x:c r="H59" s="47" t="n">
        <x:f>('Sources'!$D$6+'Sources'!$D$7*D59+'Sources'!$D$8*(D59-E59)+'Sources'!$D$9*(F59-G59))/100</x:f>
        <x:v>0.046297695903512466</x:v>
      </x:c>
      <x:c r="I59" s="20" t="n">
        <x:f>-C59*H59</x:f>
        <x:v>-2.4537778828861607</x:v>
      </x:c>
      <x:c r="J59" s="20" t="n">
        <x:f>EXP(I59)</x:f>
        <x:v>0.08596819446925037</x:v>
      </x:c>
      <x:c r="K59" s="46" t="n">
        <x:f>IF(C59&lt;=30,I59,IF('Controls'!$F$14=1,I59,IF('Controls'!$F$14=2,$I$36+(C59-30)*($I$36-$I$35),-C59*$H$36)))</x:f>
        <x:v>-2.4537778828861607</x:v>
      </x:c>
      <x:c r="L59" s="48" t="n">
        <x:f>'Controls'!$F$8+N59*'Controls'!$F$9+O59*'Controls'!$F$10+P59*'Controls'!$F$11+Q59*'Controls'!$F$12+R59*'Controls'!$F$13</x:f>
        <x:v>0</x:v>
      </x:c>
      <x:c r="M59" s="20" t="n">
        <x:f>EXP(K59-C59*L59)</x:f>
        <x:v>0.08596819446925037</x:v>
      </x:c>
      <x:c r="N59" s="20" t="n">
        <x:f>IF(C59&lt;=1,1,IF(C59&lt;5,(5-C59)/4,0))</x:f>
        <x:v>0</x:v>
      </x:c>
      <x:c r="O59" s="20" t="n">
        <x:f>IF(C59&lt;=1,0,IF(C59&lt;5,(C59-1)/4,IF(C59&lt;10,(10-C59)/5,0)))</x:f>
        <x:v>0</x:v>
      </x:c>
      <x:c r="P59" s="20" t="n">
        <x:f>IF(C59&lt;=5,0,IF(C59&lt;10,(C59-5)/5,IF(C59&lt;20,(20-C59)/10,0)))</x:f>
        <x:v>0</x:v>
      </x:c>
      <x:c r="Q59" s="20" t="n">
        <x:f>IF(C59&lt;=10,0,IF(C59&lt;20,(C59-10)/10,IF(C59&lt;30,(30-C59)/10,0)))</x:f>
        <x:v>0</x:v>
      </x:c>
      <x:c r="R59" s="20" t="n">
        <x:f>IF(C59&lt;=20,0,IF(C59&lt;30,(C59-20)/10,1))</x:f>
        <x:v>1</x:v>
      </x:c>
    </x:row>
    <x:row r="60" ht="20" customHeight="1">
      <x:c r="A60" s="2"/>
      <x:c r="B60" s="2"/>
      <x:c r="C60" s="2" t="n">
        <x:v>54</x:v>
      </x:c>
      <x:c r="D60" s="46" t="n">
        <x:f>IF(C60=0,1,(1-EXP(-C60/'Sources'!$D$10))/(C60/'Sources'!$D$10))</x:f>
        <x:v>0.03452869775630902</x:v>
      </x:c>
      <x:c r="E60" s="46" t="n">
        <x:f>EXP(-C60/'Sources'!$D$10)</x:f>
        <x:v>2.643726883166572e-13</x:v>
      </x:c>
      <x:c r="F60" s="46" t="n">
        <x:f>IF(C60=0,1,(1-EXP(-C60/'Sources'!$D$11))/(C60/'Sources'!$D$11))</x:f>
        <x:v>0.28145347724790837</x:v>
      </x:c>
      <x:c r="G60" s="46" t="n">
        <x:f>EXP(-C60/'Sources'!$D$11)</x:f>
        <x:v>0.03209873220124155</x:v>
      </x:c>
      <x:c r="H60" s="47" t="n">
        <x:f>('Sources'!$D$6+'Sources'!$D$7*D60+'Sources'!$D$8*(D60-E60)+'Sources'!$D$9*(F60-G60))/100</x:f>
        <x:v>0.04579772851202633</x:v>
      </x:c>
      <x:c r="I60" s="20" t="n">
        <x:f>-C60*H60</x:f>
        <x:v>-2.4730773396494214</x:v>
      </x:c>
      <x:c r="J60" s="20" t="n">
        <x:f>EXP(I60)</x:f>
        <x:v>0.08432496276082349</x:v>
      </x:c>
      <x:c r="K60" s="46" t="n">
        <x:f>IF(C60&lt;=30,I60,IF('Controls'!$F$14=1,I60,IF('Controls'!$F$14=2,$I$36+(C60-30)*($I$36-$I$35),-C60*$H$36)))</x:f>
        <x:v>-2.4730773396494214</x:v>
      </x:c>
      <x:c r="L60" s="48" t="n">
        <x:f>'Controls'!$F$8+N60*'Controls'!$F$9+O60*'Controls'!$F$10+P60*'Controls'!$F$11+Q60*'Controls'!$F$12+R60*'Controls'!$F$13</x:f>
        <x:v>0</x:v>
      </x:c>
      <x:c r="M60" s="20" t="n">
        <x:f>EXP(K60-C60*L60)</x:f>
        <x:v>0.08432496276082349</x:v>
      </x:c>
      <x:c r="N60" s="20" t="n">
        <x:f>IF(C60&lt;=1,1,IF(C60&lt;5,(5-C60)/4,0))</x:f>
        <x:v>0</x:v>
      </x:c>
      <x:c r="O60" s="20" t="n">
        <x:f>IF(C60&lt;=1,0,IF(C60&lt;5,(C60-1)/4,IF(C60&lt;10,(10-C60)/5,0)))</x:f>
        <x:v>0</x:v>
      </x:c>
      <x:c r="P60" s="20" t="n">
        <x:f>IF(C60&lt;=5,0,IF(C60&lt;10,(C60-5)/5,IF(C60&lt;20,(20-C60)/10,0)))</x:f>
        <x:v>0</x:v>
      </x:c>
      <x:c r="Q60" s="20" t="n">
        <x:f>IF(C60&lt;=10,0,IF(C60&lt;20,(C60-10)/10,IF(C60&lt;30,(30-C60)/10,0)))</x:f>
        <x:v>0</x:v>
      </x:c>
      <x:c r="R60" s="20" t="n">
        <x:f>IF(C60&lt;=20,0,IF(C60&lt;30,(C60-20)/10,1))</x:f>
        <x:v>1</x:v>
      </x:c>
    </x:row>
    <x:row r="61" ht="20" customHeight="1">
      <x:c r="A61" s="2"/>
      <x:c r="B61" s="2"/>
      <x:c r="C61" s="2" t="n">
        <x:v>55</x:v>
      </x:c>
      <x:c r="D61" s="46" t="n">
        <x:f>IF(C61=0,1,(1-EXP(-C61/'Sources'!$D$10))/(C61/'Sources'!$D$10))</x:f>
        <x:v>0.03390090325165257</x:v>
      </x:c>
      <x:c r="E61" s="46" t="n">
        <x:f>EXP(-C61/'Sources'!$D$10)</x:f>
        <x:v>1.5463032625282224e-13</x:v>
      </x:c>
      <x:c r="F61" s="46" t="n">
        <x:f>IF(C61=0,1,(1-EXP(-C61/'Sources'!$D$11))/(C61/'Sources'!$D$11))</x:f>
        <x:v>0.27690155946860834</x:v>
      </x:c>
      <x:c r="G61" s="46" t="n">
        <x:f>EXP(-C61/'Sources'!$D$11)</x:f>
        <x:v>0.030118285627551984</x:v>
      </x:c>
      <x:c r="H61" s="47" t="n">
        <x:f>('Sources'!$D$6+'Sources'!$D$7*D61+'Sources'!$D$8*(D61-E61)+'Sources'!$D$9*(F61-G61))/100</x:f>
        <x:v>0.04530044656725561</x:v>
      </x:c>
      <x:c r="I61" s="20" t="n">
        <x:f>-C61*H61</x:f>
        <x:v>-2.491524561199059</x:v>
      </x:c>
      <x:c r="J61" s="20" t="n">
        <x:f>EXP(I61)</x:f>
        <x:v>0.0827836615614426</x:v>
      </x:c>
      <x:c r="K61" s="46" t="n">
        <x:f>IF(C61&lt;=30,I61,IF('Controls'!$F$14=1,I61,IF('Controls'!$F$14=2,$I$36+(C61-30)*($I$36-$I$35),-C61*$H$36)))</x:f>
        <x:v>-2.491524561199059</x:v>
      </x:c>
      <x:c r="L61" s="48" t="n">
        <x:f>'Controls'!$F$8+N61*'Controls'!$F$9+O61*'Controls'!$F$10+P61*'Controls'!$F$11+Q61*'Controls'!$F$12+R61*'Controls'!$F$13</x:f>
        <x:v>0</x:v>
      </x:c>
      <x:c r="M61" s="20" t="n">
        <x:f>EXP(K61-C61*L61)</x:f>
        <x:v>0.0827836615614426</x:v>
      </x:c>
      <x:c r="N61" s="20" t="n">
        <x:f>IF(C61&lt;=1,1,IF(C61&lt;5,(5-C61)/4,0))</x:f>
        <x:v>0</x:v>
      </x:c>
      <x:c r="O61" s="20" t="n">
        <x:f>IF(C61&lt;=1,0,IF(C61&lt;5,(C61-1)/4,IF(C61&lt;10,(10-C61)/5,0)))</x:f>
        <x:v>0</x:v>
      </x:c>
      <x:c r="P61" s="20" t="n">
        <x:f>IF(C61&lt;=5,0,IF(C61&lt;10,(C61-5)/5,IF(C61&lt;20,(20-C61)/10,0)))</x:f>
        <x:v>0</x:v>
      </x:c>
      <x:c r="Q61" s="20" t="n">
        <x:f>IF(C61&lt;=10,0,IF(C61&lt;20,(C61-10)/10,IF(C61&lt;30,(30-C61)/10,0)))</x:f>
        <x:v>0</x:v>
      </x:c>
      <x:c r="R61" s="20" t="n">
        <x:f>IF(C61&lt;=20,0,IF(C61&lt;30,(C61-20)/10,1))</x:f>
        <x:v>1</x:v>
      </x:c>
    </x:row>
    <x:row r="62" ht="20" customHeight="1">
      <x:c r="A62" s="2"/>
      <x:c r="B62" s="2"/>
      <x:c r="C62" s="2" t="n">
        <x:v>56</x:v>
      </x:c>
      <x:c r="D62" s="46" t="n">
        <x:f>IF(C62=0,1,(1-EXP(-C62/'Sources'!$D$10))/(C62/'Sources'!$D$10))</x:f>
        <x:v>0.033295529979303774</x:v>
      </x:c>
      <x:c r="E62" s="46" t="n">
        <x:f>EXP(-C62/'Sources'!$D$10)</x:f>
        <x:v>9.04425413581866e-14</x:v>
      </x:c>
      <x:c r="F62" s="46" t="n">
        <x:f>IF(C62=0,1,(1-EXP(-C62/'Sources'!$D$11))/(C62/'Sources'!$D$11))</x:f>
        <x:v>0.27247794763199223</x:v>
      </x:c>
      <x:c r="G62" s="46" t="n">
        <x:f>EXP(-C62/'Sources'!$D$11)</x:f>
        <x:v>0.028260029818489785</x:v>
      </x:c>
      <x:c r="H62" s="47" t="n">
        <x:f>('Sources'!$D$6+'Sources'!$D$7*D62+'Sources'!$D$8*(D62-E62)+'Sources'!$D$9*(F62-G62))/100</x:f>
        <x:v>0.044806272203660756</x:v>
      </x:c>
      <x:c r="I62" s="20" t="n">
        <x:f>-C62*H62</x:f>
        <x:v>-2.5091512434050025</x:v>
      </x:c>
      <x:c r="J62" s="20" t="n">
        <x:f>EXP(I62)</x:f>
        <x:v>0.08133724547551699</x:v>
      </x:c>
      <x:c r="K62" s="46" t="n">
        <x:f>IF(C62&lt;=30,I62,IF('Controls'!$F$14=1,I62,IF('Controls'!$F$14=2,$I$36+(C62-30)*($I$36-$I$35),-C62*$H$36)))</x:f>
        <x:v>-2.5091512434050025</x:v>
      </x:c>
      <x:c r="L62" s="48" t="n">
        <x:f>'Controls'!$F$8+N62*'Controls'!$F$9+O62*'Controls'!$F$10+P62*'Controls'!$F$11+Q62*'Controls'!$F$12+R62*'Controls'!$F$13</x:f>
        <x:v>0</x:v>
      </x:c>
      <x:c r="M62" s="20" t="n">
        <x:f>EXP(K62-C62*L62)</x:f>
        <x:v>0.08133724547551699</x:v>
      </x:c>
      <x:c r="N62" s="20" t="n">
        <x:f>IF(C62&lt;=1,1,IF(C62&lt;5,(5-C62)/4,0))</x:f>
        <x:v>0</x:v>
      </x:c>
      <x:c r="O62" s="20" t="n">
        <x:f>IF(C62&lt;=1,0,IF(C62&lt;5,(C62-1)/4,IF(C62&lt;10,(10-C62)/5,0)))</x:f>
        <x:v>0</x:v>
      </x:c>
      <x:c r="P62" s="20" t="n">
        <x:f>IF(C62&lt;=5,0,IF(C62&lt;10,(C62-5)/5,IF(C62&lt;20,(20-C62)/10,0)))</x:f>
        <x:v>0</x:v>
      </x:c>
      <x:c r="Q62" s="20" t="n">
        <x:f>IF(C62&lt;=10,0,IF(C62&lt;20,(C62-10)/10,IF(C62&lt;30,(30-C62)/10,0)))</x:f>
        <x:v>0</x:v>
      </x:c>
      <x:c r="R62" s="20" t="n">
        <x:f>IF(C62&lt;=20,0,IF(C62&lt;30,(C62-20)/10,1))</x:f>
        <x:v>1</x:v>
      </x:c>
    </x:row>
    <x:row r="63" ht="20" customHeight="1">
      <x:c r="A63" s="2"/>
      <x:c r="B63" s="2"/>
      <x:c r="C63" s="2" t="n">
        <x:v>57</x:v>
      </x:c>
      <x:c r="D63" s="46" t="n">
        <x:f>IF(C63=0,1,(1-EXP(-C63/'Sources'!$D$10))/(C63/'Sources'!$D$10))</x:f>
        <x:v>0.03271139787440494</x:v>
      </x:c>
      <x:c r="E63" s="46" t="n">
        <x:f>EXP(-C63/'Sources'!$D$10)</x:f>
        <x:v>5.2899411684310543e-14</x:v>
      </x:c>
      <x:c r="F63" s="46" t="n">
        <x:f>IF(C63=0,1,(1-EXP(-C63/'Sources'!$D$11))/(C63/'Sources'!$D$11))</x:f>
        <x:v>0.2681779656578975</x:v>
      </x:c>
      <x:c r="G63" s="46" t="n">
        <x:f>EXP(-C63/'Sources'!$D$11)</x:f>
        <x:v>0.02651642577595293</x:v>
      </x:c>
      <x:c r="H63" s="47" t="n">
        <x:f>('Sources'!$D$6+'Sources'!$D$7*D63+'Sources'!$D$8*(D63-E63)+'Sources'!$D$9*(F63-G63))/100</x:f>
        <x:v>0.044315586231117476</x:v>
      </x:c>
      <x:c r="I63" s="20" t="n">
        <x:f>-C63*H63</x:f>
        <x:v>-2.525988415173696</x:v>
      </x:c>
      <x:c r="J63" s="20" t="n">
        <x:f>EXP(I63)</x:f>
        <x:v>0.07997922102976712</x:v>
      </x:c>
      <x:c r="K63" s="46" t="n">
        <x:f>IF(C63&lt;=30,I63,IF('Controls'!$F$14=1,I63,IF('Controls'!$F$14=2,$I$36+(C63-30)*($I$36-$I$35),-C63*$H$36)))</x:f>
        <x:v>-2.525988415173696</x:v>
      </x:c>
      <x:c r="L63" s="48" t="n">
        <x:f>'Controls'!$F$8+N63*'Controls'!$F$9+O63*'Controls'!$F$10+P63*'Controls'!$F$11+Q63*'Controls'!$F$12+R63*'Controls'!$F$13</x:f>
        <x:v>0</x:v>
      </x:c>
      <x:c r="M63" s="20" t="n">
        <x:f>EXP(K63-C63*L63)</x:f>
        <x:v>0.07997922102976712</x:v>
      </x:c>
      <x:c r="N63" s="20" t="n">
        <x:f>IF(C63&lt;=1,1,IF(C63&lt;5,(5-C63)/4,0))</x:f>
        <x:v>0</x:v>
      </x:c>
      <x:c r="O63" s="20" t="n">
        <x:f>IF(C63&lt;=1,0,IF(C63&lt;5,(C63-1)/4,IF(C63&lt;10,(10-C63)/5,0)))</x:f>
        <x:v>0</x:v>
      </x:c>
      <x:c r="P63" s="20" t="n">
        <x:f>IF(C63&lt;=5,0,IF(C63&lt;10,(C63-5)/5,IF(C63&lt;20,(20-C63)/10,0)))</x:f>
        <x:v>0</x:v>
      </x:c>
      <x:c r="Q63" s="20" t="n">
        <x:f>IF(C63&lt;=10,0,IF(C63&lt;20,(C63-10)/10,IF(C63&lt;30,(30-C63)/10,0)))</x:f>
        <x:v>0</x:v>
      </x:c>
      <x:c r="R63" s="20" t="n">
        <x:f>IF(C63&lt;=20,0,IF(C63&lt;30,(C63-20)/10,1))</x:f>
        <x:v>1</x:v>
      </x:c>
    </x:row>
    <x:row r="64" ht="20" customHeight="1">
      <x:c r="A64" s="2"/>
      <x:c r="B64" s="2"/>
      <x:c r="C64" s="2" t="n">
        <x:v>58</x:v>
      </x:c>
      <x:c r="D64" s="46" t="n">
        <x:f>IF(C64=0,1,(1-EXP(-C64/'Sources'!$D$10))/(C64/'Sources'!$D$10))</x:f>
        <x:v>0.032147408255881416</x:v>
      </x:c>
      <x:c r="E64" s="46" t="n">
        <x:f>EXP(-C64/'Sources'!$D$10)</x:f>
        <x:v>3.094061394696614e-14</x:v>
      </x:c>
      <x:c r="F64" s="46" t="n">
        <x:f>IF(C64=0,1,(1-EXP(-C64/'Sources'!$D$11))/(C64/'Sources'!$D$11))</x:f>
        <x:v>0.2639971340241563</x:v>
      </x:c>
      <x:c r="G64" s="46" t="n">
        <x:f>EXP(-C64/'Sources'!$D$11)</x:f>
        <x:v>0.02488039964740545</x:v>
      </x:c>
      <x:c r="H64" s="47" t="n">
        <x:f>('Sources'!$D$6+'Sources'!$D$7*D64+'Sources'!$D$8*(D64-E64)+'Sources'!$D$9*(F64-G64))/100</x:f>
        <x:v>0.043828731036074785</x:v>
      </x:c>
      <x:c r="I64" s="20" t="n">
        <x:f>-C64*H64</x:f>
        <x:v>-2.5420664000923376</x:v>
      </x:c>
      <x:c r="J64" s="20" t="n">
        <x:f>EXP(I64)</x:f>
        <x:v>0.07870359851907674</x:v>
      </x:c>
      <x:c r="K64" s="46" t="n">
        <x:f>IF(C64&lt;=30,I64,IF('Controls'!$F$14=1,I64,IF('Controls'!$F$14=2,$I$36+(C64-30)*($I$36-$I$35),-C64*$H$36)))</x:f>
        <x:v>-2.5420664000923376</x:v>
      </x:c>
      <x:c r="L64" s="48" t="n">
        <x:f>'Controls'!$F$8+N64*'Controls'!$F$9+O64*'Controls'!$F$10+P64*'Controls'!$F$11+Q64*'Controls'!$F$12+R64*'Controls'!$F$13</x:f>
        <x:v>0</x:v>
      </x:c>
      <x:c r="M64" s="20" t="n">
        <x:f>EXP(K64-C64*L64)</x:f>
        <x:v>0.07870359851907674</x:v>
      </x:c>
      <x:c r="N64" s="20" t="n">
        <x:f>IF(C64&lt;=1,1,IF(C64&lt;5,(5-C64)/4,0))</x:f>
        <x:v>0</x:v>
      </x:c>
      <x:c r="O64" s="20" t="n">
        <x:f>IF(C64&lt;=1,0,IF(C64&lt;5,(C64-1)/4,IF(C64&lt;10,(10-C64)/5,0)))</x:f>
        <x:v>0</x:v>
      </x:c>
      <x:c r="P64" s="20" t="n">
        <x:f>IF(C64&lt;=5,0,IF(C64&lt;10,(C64-5)/5,IF(C64&lt;20,(20-C64)/10,0)))</x:f>
        <x:v>0</x:v>
      </x:c>
      <x:c r="Q64" s="20" t="n">
        <x:f>IF(C64&lt;=10,0,IF(C64&lt;20,(C64-10)/10,IF(C64&lt;30,(30-C64)/10,0)))</x:f>
        <x:v>0</x:v>
      </x:c>
      <x:c r="R64" s="20" t="n">
        <x:f>IF(C64&lt;=20,0,IF(C64&lt;30,(C64-20)/10,1))</x:f>
        <x:v>1</x:v>
      </x:c>
    </x:row>
    <x:row r="65" ht="20" customHeight="1">
      <x:c r="A65" s="2"/>
      <x:c r="B65" s="2"/>
      <x:c r="C65" s="2" t="n">
        <x:v>59</x:v>
      </x:c>
      <x:c r="D65" s="46" t="n">
        <x:f>IF(C65=0,1,(1-EXP(-C65/'Sources'!$D$10))/(C65/'Sources'!$D$10))</x:f>
        <x:v>0.031602536929510955</x:v>
      </x:c>
      <x:c r="E65" s="46" t="n">
        <x:f>EXP(-C65/'Sources'!$D$10)</x:f>
        <x:v>1.809701773487073e-14</x:v>
      </x:c>
      <x:c r="F65" s="46" t="n">
        <x:f>IF(C65=0,1,(1-EXP(-C65/'Sources'!$D$11))/(C65/'Sources'!$D$11))</x:f>
        <x:v>0.2599311607471699</x:v>
      </x:c>
      <x:c r="G65" s="46" t="n">
        <x:f>EXP(-C65/'Sources'!$D$11)</x:f>
        <x:v>0.023345314027051096</x:v>
      </x:c>
      <x:c r="H65" s="47" t="n">
        <x:f>('Sources'!$D$6+'Sources'!$D$7*D65+'Sources'!$D$8*(D65-E65)+'Sources'!$D$9*(F65-G65))/100</x:f>
        <x:v>0.043346013310933074</x:v>
      </x:c>
      <x:c r="I65" s="20" t="n">
        <x:f>-C65*H65</x:f>
        <x:v>-2.5574147853450513</x:v>
      </x:c>
      <x:c r="J65" s="20" t="n">
        <x:f>EXP(I65)</x:f>
        <x:v>0.07750484834067621</x:v>
      </x:c>
      <x:c r="K65" s="46" t="n">
        <x:f>IF(C65&lt;=30,I65,IF('Controls'!$F$14=1,I65,IF('Controls'!$F$14=2,$I$36+(C65-30)*($I$36-$I$35),-C65*$H$36)))</x:f>
        <x:v>-2.5574147853450513</x:v>
      </x:c>
      <x:c r="L65" s="48" t="n">
        <x:f>'Controls'!$F$8+N65*'Controls'!$F$9+O65*'Controls'!$F$10+P65*'Controls'!$F$11+Q65*'Controls'!$F$12+R65*'Controls'!$F$13</x:f>
        <x:v>0</x:v>
      </x:c>
      <x:c r="M65" s="20" t="n">
        <x:f>EXP(K65-C65*L65)</x:f>
        <x:v>0.07750484834067621</x:v>
      </x:c>
      <x:c r="N65" s="20" t="n">
        <x:f>IF(C65&lt;=1,1,IF(C65&lt;5,(5-C65)/4,0))</x:f>
        <x:v>0</x:v>
      </x:c>
      <x:c r="O65" s="20" t="n">
        <x:f>IF(C65&lt;=1,0,IF(C65&lt;5,(C65-1)/4,IF(C65&lt;10,(10-C65)/5,0)))</x:f>
        <x:v>0</x:v>
      </x:c>
      <x:c r="P65" s="20" t="n">
        <x:f>IF(C65&lt;=5,0,IF(C65&lt;10,(C65-5)/5,IF(C65&lt;20,(20-C65)/10,0)))</x:f>
        <x:v>0</x:v>
      </x:c>
      <x:c r="Q65" s="20" t="n">
        <x:f>IF(C65&lt;=10,0,IF(C65&lt;20,(C65-10)/10,IF(C65&lt;30,(30-C65)/10,0)))</x:f>
        <x:v>0</x:v>
      </x:c>
      <x:c r="R65" s="20" t="n">
        <x:f>IF(C65&lt;=20,0,IF(C65&lt;30,(C65-20)/10,1))</x:f>
        <x:v>1</x:v>
      </x:c>
    </x:row>
    <x:row r="66" ht="20" customHeight="1">
      <x:c r="A66" s="2"/>
      <x:c r="B66" s="2"/>
      <x:c r="C66" s="2" t="n">
        <x:v>60</x:v>
      </x:c>
      <x:c r="D66" s="46" t="n">
        <x:f>IF(C66=0,1,(1-EXP(-C66/'Sources'!$D$10))/(C66/'Sources'!$D$10))</x:f>
        <x:v>0.031075827980686</x:v>
      </x:c>
      <x:c r="E66" s="46" t="n">
        <x:f>EXP(-C66/'Sources'!$D$10)</x:f>
        <x:v>1.0584859481378762e-14</x:v>
      </x:c>
      <x:c r="F66" s="46" t="n">
        <x:f>IF(C66=0,1,(1-EXP(-C66/'Sources'!$D$11))/(C66/'Sources'!$D$11))</x:f>
        <x:v>0.25597593280102376</x:v>
      </x:c>
      <x:c r="G66" s="46" t="n">
        <x:f>EXP(-C66/'Sources'!$D$11)</x:f>
        <x:v>0.02190494102768411</x:v>
      </x:c>
      <x:c r="H66" s="47" t="n">
        <x:f>('Sources'!$D$6+'Sources'!$D$7*D66+'Sources'!$D$8*(D66-E66)+'Sources'!$D$9*(F66-G66))/100</x:f>
        <x:v>0.0428677066191611</x:v>
      </x:c>
      <x:c r="I66" s="20" t="n">
        <x:f>-C66*H66</x:f>
        <x:v>-2.5720623971496663</x:v>
      </x:c>
      <x:c r="J66" s="20" t="n">
        <x:f>EXP(I66)</x:f>
        <x:v>0.0763778613926216</x:v>
      </x:c>
      <x:c r="K66" s="46" t="n">
        <x:f>IF(C66&lt;=30,I66,IF('Controls'!$F$14=1,I66,IF('Controls'!$F$14=2,$I$36+(C66-30)*($I$36-$I$35),-C66*$H$36)))</x:f>
        <x:v>-2.5720623971496663</x:v>
      </x:c>
      <x:c r="L66" s="48" t="n">
        <x:f>'Controls'!$F$8+N66*'Controls'!$F$9+O66*'Controls'!$F$10+P66*'Controls'!$F$11+Q66*'Controls'!$F$12+R66*'Controls'!$F$13</x:f>
        <x:v>0</x:v>
      </x:c>
      <x:c r="M66" s="20" t="n">
        <x:f>EXP(K66-C66*L66)</x:f>
        <x:v>0.0763778613926216</x:v>
      </x:c>
      <x:c r="N66" s="20" t="n">
        <x:f>IF(C66&lt;=1,1,IF(C66&lt;5,(5-C66)/4,0))</x:f>
        <x:v>0</x:v>
      </x:c>
      <x:c r="O66" s="20" t="n">
        <x:f>IF(C66&lt;=1,0,IF(C66&lt;5,(C66-1)/4,IF(C66&lt;10,(10-C66)/5,0)))</x:f>
        <x:v>0</x:v>
      </x:c>
      <x:c r="P66" s="20" t="n">
        <x:f>IF(C66&lt;=5,0,IF(C66&lt;10,(C66-5)/5,IF(C66&lt;20,(20-C66)/10,0)))</x:f>
        <x:v>0</x:v>
      </x:c>
      <x:c r="Q66" s="20" t="n">
        <x:f>IF(C66&lt;=10,0,IF(C66&lt;20,(C66-10)/10,IF(C66&lt;30,(30-C66)/10,0)))</x:f>
        <x:v>0</x:v>
      </x:c>
      <x:c r="R66" s="20" t="n">
        <x:f>IF(C66&lt;=20,0,IF(C66&lt;30,(C66-20)/10,1))</x:f>
        <x:v>1</x:v>
      </x:c>
    </x:row>
    <x:row r="67" ht="20" customHeight="1">
      <x:c r="A67" s="2"/>
      <x:c r="B67" s="2"/>
      <x:c r="C67" s="2" t="n">
        <x:v>61</x:v>
      </x:c>
      <x:c r="D67" s="46" t="n">
        <x:f>IF(C67=0,1,(1-EXP(-C67/'Sources'!$D$10))/(C67/'Sources'!$D$10))</x:f>
        <x:v>0.03056638817772407</x:v>
      </x:c>
      <x:c r="E67" s="46" t="n">
        <x:f>EXP(-C67/'Sources'!$D$10)</x:f>
        <x:v>6.191033897516075e-15</x:v>
      </x:c>
      <x:c r="F67" s="46" t="n">
        <x:f>IF(C67=0,1,(1-EXP(-C67/'Sources'!$D$11))/(C67/'Sources'!$D$11))</x:f>
        <x:v>0.25212750795294253</x:v>
      </x:c>
      <x:c r="G67" s="46" t="n">
        <x:f>EXP(-C67/'Sources'!$D$11)</x:f>
        <x:v>0.020553437013968858</x:v>
      </x:c>
      <x:c r="H67" s="47" t="n">
        <x:f>('Sources'!$D$6+'Sources'!$D$7*D67+'Sources'!$D$8*(D67-E67)+'Sources'!$D$9*(F67-G67))/100</x:f>
        <x:v>0.042394053803750865</x:v>
      </x:c>
      <x:c r="I67" s="20" t="n">
        <x:f>-C67*H67</x:f>
        <x:v>-2.5860372820288027</x:v>
      </x:c>
      <x:c r="J67" s="20" t="n">
        <x:f>EXP(I67)</x:f>
        <x:v>0.07531791315005144</x:v>
      </x:c>
      <x:c r="K67" s="46" t="n">
        <x:f>IF(C67&lt;=30,I67,IF('Controls'!$F$14=1,I67,IF('Controls'!$F$14=2,$I$36+(C67-30)*($I$36-$I$35),-C67*$H$36)))</x:f>
        <x:v>-2.5860372820288027</x:v>
      </x:c>
      <x:c r="L67" s="48" t="n">
        <x:f>'Controls'!$F$8+N67*'Controls'!$F$9+O67*'Controls'!$F$10+P67*'Controls'!$F$11+Q67*'Controls'!$F$12+R67*'Controls'!$F$13</x:f>
        <x:v>0</x:v>
      </x:c>
      <x:c r="M67" s="20" t="n">
        <x:f>EXP(K67-C67*L67)</x:f>
        <x:v>0.07531791315005144</x:v>
      </x:c>
      <x:c r="N67" s="20" t="n">
        <x:f>IF(C67&lt;=1,1,IF(C67&lt;5,(5-C67)/4,0))</x:f>
        <x:v>0</x:v>
      </x:c>
      <x:c r="O67" s="20" t="n">
        <x:f>IF(C67&lt;=1,0,IF(C67&lt;5,(C67-1)/4,IF(C67&lt;10,(10-C67)/5,0)))</x:f>
        <x:v>0</x:v>
      </x:c>
      <x:c r="P67" s="20" t="n">
        <x:f>IF(C67&lt;=5,0,IF(C67&lt;10,(C67-5)/5,IF(C67&lt;20,(20-C67)/10,0)))</x:f>
        <x:v>0</x:v>
      </x:c>
      <x:c r="Q67" s="20" t="n">
        <x:f>IF(C67&lt;=10,0,IF(C67&lt;20,(C67-10)/10,IF(C67&lt;30,(30-C67)/10,0)))</x:f>
        <x:v>0</x:v>
      </x:c>
      <x:c r="R67" s="20" t="n">
        <x:f>IF(C67&lt;=20,0,IF(C67&lt;30,(C67-20)/10,1))</x:f>
        <x:v>1</x:v>
      </x:c>
    </x:row>
    <x:row r="68" ht="20" customHeight="1">
      <x:c r="A68" s="2"/>
      <x:c r="B68" s="2"/>
      <x:c r="C68" s="2" t="n">
        <x:v>62</x:v>
      </x:c>
      <x:c r="D68" s="46" t="n">
        <x:f>IF(C68=0,1,(1-EXP(-C68/'Sources'!$D$10))/(C68/'Sources'!$D$10))</x:f>
        <x:v>0.030073381916793113</x:v>
      </x:c>
      <x:c r="E68" s="46" t="n">
        <x:f>EXP(-C68/'Sources'!$D$10)</x:f>
        <x:v>3.62110624025029e-15</x:v>
      </x:c>
      <x:c r="F68" s="46" t="n">
        <x:f>IF(C68=0,1,(1-EXP(-C68/'Sources'!$D$11))/(C68/'Sources'!$D$11))</x:f>
        <x:v>0.24838210699403918</x:v>
      </x:c>
      <x:c r="G68" s="46" t="n">
        <x:f>EXP(-C68/'Sources'!$D$11)</x:f>
        <x:v>0.019285318894640628</x:v>
      </x:c>
      <x:c r="H68" s="47" t="n">
        <x:f>('Sources'!$D$6+'Sources'!$D$7*D68+'Sources'!$D$8*(D68-E68)+'Sources'!$D$9*(F68-G68))/100</x:f>
        <x:v>0.04192526924659414</x:v>
      </x:c>
      <x:c r="I68" s="20" t="n">
        <x:f>-C68*H68</x:f>
        <x:v>-2.599366693288837</x:v>
      </x:c>
      <x:c r="J68" s="20" t="n">
        <x:f>EXP(I68)</x:f>
        <x:v>0.07432063106775039</x:v>
      </x:c>
      <x:c r="K68" s="46" t="n">
        <x:f>IF(C68&lt;=30,I68,IF('Controls'!$F$14=1,I68,IF('Controls'!$F$14=2,$I$36+(C68-30)*($I$36-$I$35),-C68*$H$36)))</x:f>
        <x:v>-2.599366693288837</x:v>
      </x:c>
      <x:c r="L68" s="48" t="n">
        <x:f>'Controls'!$F$8+N68*'Controls'!$F$9+O68*'Controls'!$F$10+P68*'Controls'!$F$11+Q68*'Controls'!$F$12+R68*'Controls'!$F$13</x:f>
        <x:v>0</x:v>
      </x:c>
      <x:c r="M68" s="20" t="n">
        <x:f>EXP(K68-C68*L68)</x:f>
        <x:v>0.07432063106775039</x:v>
      </x:c>
      <x:c r="N68" s="20" t="n">
        <x:f>IF(C68&lt;=1,1,IF(C68&lt;5,(5-C68)/4,0))</x:f>
        <x:v>0</x:v>
      </x:c>
      <x:c r="O68" s="20" t="n">
        <x:f>IF(C68&lt;=1,0,IF(C68&lt;5,(C68-1)/4,IF(C68&lt;10,(10-C68)/5,0)))</x:f>
        <x:v>0</x:v>
      </x:c>
      <x:c r="P68" s="20" t="n">
        <x:f>IF(C68&lt;=5,0,IF(C68&lt;10,(C68-5)/5,IF(C68&lt;20,(20-C68)/10,0)))</x:f>
        <x:v>0</x:v>
      </x:c>
      <x:c r="Q68" s="20" t="n">
        <x:f>IF(C68&lt;=10,0,IF(C68&lt;20,(C68-10)/10,IF(C68&lt;30,(30-C68)/10,0)))</x:f>
        <x:v>0</x:v>
      </x:c>
      <x:c r="R68" s="20" t="n">
        <x:f>IF(C68&lt;=20,0,IF(C68&lt;30,(C68-20)/10,1))</x:f>
        <x:v>1</x:v>
      </x:c>
    </x:row>
    <x:row r="69" ht="20" customHeight="1">
      <x:c r="A69" s="2"/>
      <x:c r="B69" s="2"/>
      <x:c r="C69" s="2" t="n">
        <x:v>63</x:v>
      </x:c>
      <x:c r="D69" s="46" t="n">
        <x:f>IF(C69=0,1,(1-EXP(-C69/'Sources'!$D$10))/(C69/'Sources'!$D$10))</x:f>
        <x:v>0.029596026648272634</x:v>
      </x:c>
      <x:c r="E69" s="46" t="n">
        <x:f>EXP(-C69/'Sources'!$D$10)</x:f>
        <x:v>2.117967793463458e-15</x:v>
      </x:c>
      <x:c r="F69" s="46" t="n">
        <x:f>IF(C69=0,1,(1-EXP(-C69/'Sources'!$D$11))/(C69/'Sources'!$D$11))</x:f>
        <x:v>0.24473610634541107</x:v>
      </x:c>
      <x:c r="G69" s="46" t="n">
        <x:f>EXP(-C69/'Sources'!$D$11)</x:f>
        <x:v>0.018095441877444166</x:v>
      </x:c>
      <x:c r="H69" s="47" t="n">
        <x:f>('Sources'!$D$6+'Sources'!$D$7*D69+'Sources'!$D$8*(D69-E69)+'Sources'!$D$9*(F69-G69))/100</x:f>
        <x:v>0.04146154098627609</x:v>
      </x:c>
      <x:c r="I69" s="20" t="n">
        <x:f>-C69*H69</x:f>
        <x:v>-2.6120770821353934</x:v>
      </x:c>
      <x:c r="J69" s="20" t="n">
        <x:f>EXP(I69)</x:f>
        <x:v>0.07338196499004987</x:v>
      </x:c>
      <x:c r="K69" s="46" t="n">
        <x:f>IF(C69&lt;=30,I69,IF('Controls'!$F$14=1,I69,IF('Controls'!$F$14=2,$I$36+(C69-30)*($I$36-$I$35),-C69*$H$36)))</x:f>
        <x:v>-2.6120770821353934</x:v>
      </x:c>
      <x:c r="L69" s="48" t="n">
        <x:f>'Controls'!$F$8+N69*'Controls'!$F$9+O69*'Controls'!$F$10+P69*'Controls'!$F$11+Q69*'Controls'!$F$12+R69*'Controls'!$F$13</x:f>
        <x:v>0</x:v>
      </x:c>
      <x:c r="M69" s="20" t="n">
        <x:f>EXP(K69-C69*L69)</x:f>
        <x:v>0.07338196499004987</x:v>
      </x:c>
      <x:c r="N69" s="20" t="n">
        <x:f>IF(C69&lt;=1,1,IF(C69&lt;5,(5-C69)/4,0))</x:f>
        <x:v>0</x:v>
      </x:c>
      <x:c r="O69" s="20" t="n">
        <x:f>IF(C69&lt;=1,0,IF(C69&lt;5,(C69-1)/4,IF(C69&lt;10,(10-C69)/5,0)))</x:f>
        <x:v>0</x:v>
      </x:c>
      <x:c r="P69" s="20" t="n">
        <x:f>IF(C69&lt;=5,0,IF(C69&lt;10,(C69-5)/5,IF(C69&lt;20,(20-C69)/10,0)))</x:f>
        <x:v>0</x:v>
      </x:c>
      <x:c r="Q69" s="20" t="n">
        <x:f>IF(C69&lt;=10,0,IF(C69&lt;20,(C69-10)/10,IF(C69&lt;30,(30-C69)/10,0)))</x:f>
        <x:v>0</x:v>
      </x:c>
      <x:c r="R69" s="20" t="n">
        <x:f>IF(C69&lt;=20,0,IF(C69&lt;30,(C69-20)/10,1))</x:f>
        <x:v>1</x:v>
      </x:c>
    </x:row>
    <x:row r="70" ht="20" customHeight="1">
      <x:c r="A70" s="2"/>
      <x:c r="B70" s="2"/>
      <x:c r="C70" s="2" t="n">
        <x:v>64</x:v>
      </x:c>
      <x:c r="D70" s="46" t="n">
        <x:f>IF(C70=0,1,(1-EXP(-C70/'Sources'!$D$10))/(C70/'Sources'!$D$10))</x:f>
        <x:v>0.029133588731893402</x:v>
      </x:c>
      <x:c r="E70" s="46" t="n">
        <x:f>EXP(-C70/'Sources'!$D$10)</x:f>
        <x:v>1.2387892750250849e-15</x:v>
      </x:c>
      <x:c r="F70" s="46" t="n">
        <x:f>IF(C70=0,1,(1-EXP(-C70/'Sources'!$D$11))/(C70/'Sources'!$D$11))</x:f>
        <x:v>0.2411860310206719</x:v>
      </x:c>
      <x:c r="G70" s="46" t="n">
        <x:f>EXP(-C70/'Sources'!$D$11)</x:f>
        <x:v>0.016978978596561174</x:v>
      </x:c>
      <x:c r="H70" s="47" t="n">
        <x:f>('Sources'!$D$6+'Sources'!$D$7*D70+'Sources'!$D$8*(D70-E70)+'Sources'!$D$9*(F70-G70))/100</x:f>
        <x:v>0.041003032701636286</x:v>
      </x:c>
      <x:c r="I70" s="20" t="n">
        <x:f>-C70*H70</x:f>
        <x:v>-2.6241940929047223</x:v>
      </x:c>
      <x:c r="J70" s="20" t="n">
        <x:f>EXP(I70)</x:f>
        <x:v>0.07249816027905924</x:v>
      </x:c>
      <x:c r="K70" s="46" t="n">
        <x:f>IF(C70&lt;=30,I70,IF('Controls'!$F$14=1,I70,IF('Controls'!$F$14=2,$I$36+(C70-30)*($I$36-$I$35),-C70*$H$36)))</x:f>
        <x:v>-2.6241940929047223</x:v>
      </x:c>
      <x:c r="L70" s="48" t="n">
        <x:f>'Controls'!$F$8+N70*'Controls'!$F$9+O70*'Controls'!$F$10+P70*'Controls'!$F$11+Q70*'Controls'!$F$12+R70*'Controls'!$F$13</x:f>
        <x:v>0</x:v>
      </x:c>
      <x:c r="M70" s="20" t="n">
        <x:f>EXP(K70-C70*L70)</x:f>
        <x:v>0.07249816027905924</x:v>
      </x:c>
      <x:c r="N70" s="20" t="n">
        <x:f>IF(C70&lt;=1,1,IF(C70&lt;5,(5-C70)/4,0))</x:f>
        <x:v>0</x:v>
      </x:c>
      <x:c r="O70" s="20" t="n">
        <x:f>IF(C70&lt;=1,0,IF(C70&lt;5,(C70-1)/4,IF(C70&lt;10,(10-C70)/5,0)))</x:f>
        <x:v>0</x:v>
      </x:c>
      <x:c r="P70" s="20" t="n">
        <x:f>IF(C70&lt;=5,0,IF(C70&lt;10,(C70-5)/5,IF(C70&lt;20,(20-C70)/10,0)))</x:f>
        <x:v>0</x:v>
      </x:c>
      <x:c r="Q70" s="20" t="n">
        <x:f>IF(C70&lt;=10,0,IF(C70&lt;20,(C70-10)/10,IF(C70&lt;30,(30-C70)/10,0)))</x:f>
        <x:v>0</x:v>
      </x:c>
      <x:c r="R70" s="20" t="n">
        <x:f>IF(C70&lt;=20,0,IF(C70&lt;30,(C70-20)/10,1))</x:f>
        <x:v>1</x:v>
      </x:c>
    </x:row>
    <x:row r="71" ht="20" customHeight="1">
      <x:c r="A71" s="2"/>
      <x:c r="B71" s="2"/>
      <x:c r="C71" s="2" t="n">
        <x:v>65</x:v>
      </x:c>
      <x:c r="D71" s="46" t="n">
        <x:f>IF(C71=0,1,(1-EXP(-C71/'Sources'!$D$10))/(C71/'Sources'!$D$10))</x:f>
        <x:v>0.02868537967447967</x:v>
      </x:c>
      <x:c r="E71" s="46" t="n">
        <x:f>EXP(-C71/'Sources'!$D$10)</x:f>
        <x:v>7.245619469065135e-16</x:v>
      </x:c>
      <x:c r="F71" s="46" t="n">
        <x:f>IF(C71=0,1,(1-EXP(-C71/'Sources'!$D$11))/(C71/'Sources'!$D$11))</x:f>
        <x:v>0.23772854792699083</x:v>
      </x:c>
      <x:c r="G71" s="46" t="n">
        <x:f>EXP(-C71/'Sources'!$D$11)</x:f>
        <x:v>0.01593139952784619</x:v>
      </x:c>
      <x:c r="H71" s="47" t="n">
        <x:f>('Sources'!$D$6+'Sources'!$D$7*D71+'Sources'!$D$8*(D71-E71)+'Sources'!$D$9*(F71-G71))/100</x:f>
        <x:v>0.04054988556825955</x:v>
      </x:c>
      <x:c r="I71" s="20" t="n">
        <x:f>-C71*H71</x:f>
        <x:v>-2.635742561936871</x:v>
      </x:c>
      <x:c r="J71" s="20" t="n">
        <x:f>EXP(I71)</x:f>
        <x:v>0.07166573339971948</x:v>
      </x:c>
      <x:c r="K71" s="46" t="n">
        <x:f>IF(C71&lt;=30,I71,IF('Controls'!$F$14=1,I71,IF('Controls'!$F$14=2,$I$36+(C71-30)*($I$36-$I$35),-C71*$H$36)))</x:f>
        <x:v>-2.635742561936871</x:v>
      </x:c>
      <x:c r="L71" s="48" t="n">
        <x:f>'Controls'!$F$8+N71*'Controls'!$F$9+O71*'Controls'!$F$10+P71*'Controls'!$F$11+Q71*'Controls'!$F$12+R71*'Controls'!$F$13</x:f>
        <x:v>0</x:v>
      </x:c>
      <x:c r="M71" s="20" t="n">
        <x:f>EXP(K71-C71*L71)</x:f>
        <x:v>0.07166573339971948</x:v>
      </x:c>
      <x:c r="N71" s="20" t="n">
        <x:f>IF(C71&lt;=1,1,IF(C71&lt;5,(5-C71)/4,0))</x:f>
        <x:v>0</x:v>
      </x:c>
      <x:c r="O71" s="20" t="n">
        <x:f>IF(C71&lt;=1,0,IF(C71&lt;5,(C71-1)/4,IF(C71&lt;10,(10-C71)/5,0)))</x:f>
        <x:v>0</x:v>
      </x:c>
      <x:c r="P71" s="20" t="n">
        <x:f>IF(C71&lt;=5,0,IF(C71&lt;10,(C71-5)/5,IF(C71&lt;20,(20-C71)/10,0)))</x:f>
        <x:v>0</x:v>
      </x:c>
      <x:c r="Q71" s="20" t="n">
        <x:f>IF(C71&lt;=10,0,IF(C71&lt;20,(C71-10)/10,IF(C71&lt;30,(30-C71)/10,0)))</x:f>
        <x:v>0</x:v>
      </x:c>
      <x:c r="R71" s="20" t="n">
        <x:f>IF(C71&lt;=20,0,IF(C71&lt;30,(C71-20)/10,1))</x:f>
        <x:v>1</x:v>
      </x:c>
    </x:row>
    <x:row r="72" ht="20" customHeight="1">
      <x:c r="A72" s="2"/>
      <x:c r="B72" s="2"/>
      <x:c r="C72" s="2" t="n">
        <x:v>66</x:v>
      </x:c>
      <x:c r="D72" s="46" t="n">
        <x:f>IF(C72=0,1,(1-EXP(-C72/'Sources'!$D$10))/(C72/'Sources'!$D$10))</x:f>
        <x:v>0.028250752709714836</x:v>
      </x:c>
      <x:c r="E72" s="46" t="n">
        <x:f>EXP(-C72/'Sources'!$D$10)</x:f>
        <x:v>4.237928318311656e-16</x:v>
      </x:c>
      <x:c r="F72" s="46" t="n">
        <x:f>IF(C72=0,1,(1-EXP(-C72/'Sources'!$D$11))/(C72/'Sources'!$D$11))</x:f>
        <x:v>0.23436045948764053</x:v>
      </x:c>
      <x:c r="G72" s="46" t="n">
        <x:f>EXP(-C72/'Sources'!$D$11)</x:f>
        <x:v>0.01494845461241486</x:v>
      </x:c>
      <x:c r="H72" s="47" t="n">
        <x:f>('Sources'!$D$6+'Sources'!$D$7*D72+'Sources'!$D$8*(D72-E72)+'Sources'!$D$9*(F72-G72))/100</x:f>
        <x:v>0.04010221999483985</x:v>
      </x:c>
      <x:c r="I72" s="20" t="n">
        <x:f>-C72*H72</x:f>
        <x:v>-2.64674651965943</x:v>
      </x:c>
      <x:c r="J72" s="20" t="n">
        <x:f>EXP(I72)</x:f>
        <x:v>0.07088144972530007</x:v>
      </x:c>
      <x:c r="K72" s="46" t="n">
        <x:f>IF(C72&lt;=30,I72,IF('Controls'!$F$14=1,I72,IF('Controls'!$F$14=2,$I$36+(C72-30)*($I$36-$I$35),-C72*$H$36)))</x:f>
        <x:v>-2.64674651965943</x:v>
      </x:c>
      <x:c r="L72" s="48" t="n">
        <x:f>'Controls'!$F$8+N72*'Controls'!$F$9+O72*'Controls'!$F$10+P72*'Controls'!$F$11+Q72*'Controls'!$F$12+R72*'Controls'!$F$13</x:f>
        <x:v>0</x:v>
      </x:c>
      <x:c r="M72" s="20" t="n">
        <x:f>EXP(K72-C72*L72)</x:f>
        <x:v>0.07088144972530007</x:v>
      </x:c>
      <x:c r="N72" s="20" t="n">
        <x:f>IF(C72&lt;=1,1,IF(C72&lt;5,(5-C72)/4,0))</x:f>
        <x:v>0</x:v>
      </x:c>
      <x:c r="O72" s="20" t="n">
        <x:f>IF(C72&lt;=1,0,IF(C72&lt;5,(C72-1)/4,IF(C72&lt;10,(10-C72)/5,0)))</x:f>
        <x:v>0</x:v>
      </x:c>
      <x:c r="P72" s="20" t="n">
        <x:f>IF(C72&lt;=5,0,IF(C72&lt;10,(C72-5)/5,IF(C72&lt;20,(20-C72)/10,0)))</x:f>
        <x:v>0</x:v>
      </x:c>
      <x:c r="Q72" s="20" t="n">
        <x:f>IF(C72&lt;=10,0,IF(C72&lt;20,(C72-10)/10,IF(C72&lt;30,(30-C72)/10,0)))</x:f>
        <x:v>0</x:v>
      </x:c>
      <x:c r="R72" s="20" t="n">
        <x:f>IF(C72&lt;=20,0,IF(C72&lt;30,(C72-20)/10,1))</x:f>
        <x:v>1</x:v>
      </x:c>
    </x:row>
    <x:row r="73" ht="20" customHeight="1">
      <x:c r="A73" s="2"/>
      <x:c r="B73" s="2"/>
      <x:c r="C73" s="2" t="n">
        <x:v>67</x:v>
      </x:c>
      <x:c r="D73" s="46" t="n">
        <x:f>IF(C73=0,1,(1-EXP(-C73/'Sources'!$D$10))/(C73/'Sources'!$D$10))</x:f>
        <x:v>0.027829099684196713</x:v>
      </x:c>
      <x:c r="E73" s="46" t="n">
        <x:f>EXP(-C73/'Sources'!$D$10)</x:f>
        <x:v>2.478744089146204e-16</x:v>
      </x:c>
      <x:c r="F73" s="46" t="n">
        <x:f>IF(C73=0,1,(1-EXP(-C73/'Sources'!$D$11))/(C73/'Sources'!$D$11))</x:f>
        <x:v>0.23107869756993657</x:v>
      </x:c>
      <x:c r="G73" s="46" t="n">
        <x:f>EXP(-C73/'Sources'!$D$11)</x:f>
        <x:v>0.014026156014030788</x:v>
      </x:c>
      <x:c r="H73" s="47" t="n">
        <x:f>('Sources'!$D$6+'Sources'!$D$7*D73+'Sources'!$D$8*(D73-E73)+'Sources'!$D$9*(F73-G73))/100</x:f>
        <x:v>0.03966013724611884</x:v>
      </x:c>
      <x:c r="I73" s="20" t="n">
        <x:f>-C73*H73</x:f>
        <x:v>-2.657229195489962</x:v>
      </x:c>
      <x:c r="J73" s="20" t="n">
        <x:f>EXP(I73)</x:f>
        <x:v>0.07014230334985862</x:v>
      </x:c>
      <x:c r="K73" s="46" t="n">
        <x:f>IF(C73&lt;=30,I73,IF('Controls'!$F$14=1,I73,IF('Controls'!$F$14=2,$I$36+(C73-30)*($I$36-$I$35),-C73*$H$36)))</x:f>
        <x:v>-2.657229195489962</x:v>
      </x:c>
      <x:c r="L73" s="48" t="n">
        <x:f>'Controls'!$F$8+N73*'Controls'!$F$9+O73*'Controls'!$F$10+P73*'Controls'!$F$11+Q73*'Controls'!$F$12+R73*'Controls'!$F$13</x:f>
        <x:v>0</x:v>
      </x:c>
      <x:c r="M73" s="20" t="n">
        <x:f>EXP(K73-C73*L73)</x:f>
        <x:v>0.07014230334985862</x:v>
      </x:c>
      <x:c r="N73" s="20" t="n">
        <x:f>IF(C73&lt;=1,1,IF(C73&lt;5,(5-C73)/4,0))</x:f>
        <x:v>0</x:v>
      </x:c>
      <x:c r="O73" s="20" t="n">
        <x:f>IF(C73&lt;=1,0,IF(C73&lt;5,(C73-1)/4,IF(C73&lt;10,(10-C73)/5,0)))</x:f>
        <x:v>0</x:v>
      </x:c>
      <x:c r="P73" s="20" t="n">
        <x:f>IF(C73&lt;=5,0,IF(C73&lt;10,(C73-5)/5,IF(C73&lt;20,(20-C73)/10,0)))</x:f>
        <x:v>0</x:v>
      </x:c>
      <x:c r="Q73" s="20" t="n">
        <x:f>IF(C73&lt;=10,0,IF(C73&lt;20,(C73-10)/10,IF(C73&lt;30,(30-C73)/10,0)))</x:f>
        <x:v>0</x:v>
      </x:c>
      <x:c r="R73" s="20" t="n">
        <x:f>IF(C73&lt;=20,0,IF(C73&lt;30,(C73-20)/10,1))</x:f>
        <x:v>1</x:v>
      </x:c>
    </x:row>
    <x:row r="74" ht="20" customHeight="1">
      <x:c r="A74" s="2"/>
      <x:c r="B74" s="2"/>
      <x:c r="C74" s="2" t="n">
        <x:v>68</x:v>
      </x:c>
      <x:c r="D74" s="46" t="n">
        <x:f>IF(C74=0,1,(1-EXP(-C74/'Sources'!$D$10))/(C74/'Sources'!$D$10))</x:f>
        <x:v>0.027419848218252645</x:v>
      </x:c>
      <x:c r="E74" s="46" t="n">
        <x:f>EXP(-C74/'Sources'!$D$10)</x:f>
        <x:v>1.4498056120791147e-16</x:v>
      </x:c>
      <x:c r="F74" s="46" t="n">
        <x:f>IF(C74=0,1,(1-EXP(-C74/'Sources'!$D$11))/(C74/'Sources'!$D$11))</x:f>
        <x:v>0.22788031770328418</x:v>
      </x:c>
      <x:c r="G74" s="46" t="n">
        <x:f>EXP(-C74/'Sources'!$D$11)</x:f>
        <x:v>0.013160761940337488</x:v>
      </x:c>
      <x:c r="H74" s="47" t="n">
        <x:f>('Sources'!$D$6+'Sources'!$D$7*D74+'Sources'!$D$8*(D74-E74)+'Sources'!$D$9*(F74-G74))/100</x:f>
        <x:v>0.03922372095884357</x:v>
      </x:c>
      <x:c r="I74" s="20" t="n">
        <x:f>-C74*H74</x:f>
        <x:v>-2.6672130252013626</x:v>
      </x:c>
      <x:c r="J74" s="20" t="n">
        <x:f>EXP(I74)</x:f>
        <x:v>0.0694454987149882</x:v>
      </x:c>
      <x:c r="K74" s="46" t="n">
        <x:f>IF(C74&lt;=30,I74,IF('Controls'!$F$14=1,I74,IF('Controls'!$F$14=2,$I$36+(C74-30)*($I$36-$I$35),-C74*$H$36)))</x:f>
        <x:v>-2.6672130252013626</x:v>
      </x:c>
      <x:c r="L74" s="48" t="n">
        <x:f>'Controls'!$F$8+N74*'Controls'!$F$9+O74*'Controls'!$F$10+P74*'Controls'!$F$11+Q74*'Controls'!$F$12+R74*'Controls'!$F$13</x:f>
        <x:v>0</x:v>
      </x:c>
      <x:c r="M74" s="20" t="n">
        <x:f>EXP(K74-C74*L74)</x:f>
        <x:v>0.0694454987149882</x:v>
      </x:c>
      <x:c r="N74" s="20" t="n">
        <x:f>IF(C74&lt;=1,1,IF(C74&lt;5,(5-C74)/4,0))</x:f>
        <x:v>0</x:v>
      </x:c>
      <x:c r="O74" s="20" t="n">
        <x:f>IF(C74&lt;=1,0,IF(C74&lt;5,(C74-1)/4,IF(C74&lt;10,(10-C74)/5,0)))</x:f>
        <x:v>0</x:v>
      </x:c>
      <x:c r="P74" s="20" t="n">
        <x:f>IF(C74&lt;=5,0,IF(C74&lt;10,(C74-5)/5,IF(C74&lt;20,(20-C74)/10,0)))</x:f>
        <x:v>0</x:v>
      </x:c>
      <x:c r="Q74" s="20" t="n">
        <x:f>IF(C74&lt;=10,0,IF(C74&lt;20,(C74-10)/10,IF(C74&lt;30,(30-C74)/10,0)))</x:f>
        <x:v>0</x:v>
      </x:c>
      <x:c r="R74" s="20" t="n">
        <x:f>IF(C74&lt;=20,0,IF(C74&lt;30,(C74-20)/10,1))</x:f>
        <x:v>1</x:v>
      </x:c>
    </x:row>
    <x:row r="75" ht="20" customHeight="1">
      <x:c r="A75" s="2"/>
      <x:c r="B75" s="2"/>
      <x:c r="C75" s="2" t="n">
        <x:v>69</x:v>
      </x:c>
      <x:c r="D75" s="46" t="n">
        <x:f>IF(C75=0,1,(1-EXP(-C75/'Sources'!$D$10))/(C75/'Sources'!$D$10))</x:f>
        <x:v>0.027022459113640287</x:v>
      </x:c>
      <x:c r="E75" s="46" t="n">
        <x:f>EXP(-C75/'Sources'!$D$10)</x:f>
        <x:v>8.479843974293055e-17</x:v>
      </x:c>
      <x:c r="F75" s="46" t="n">
        <x:f>IF(C75=0,1,(1-EXP(-C75/'Sources'!$D$11))/(C75/'Sources'!$D$11))</x:f>
        <x:v>0.22476249357283945</x:v>
      </x:c>
      <x:c r="G75" s="46" t="n">
        <x:f>EXP(-C75/'Sources'!$D$11)</x:f>
        <x:v>0.012348761462297514</x:v>
      </x:c>
      <x:c r="H75" s="47" t="n">
        <x:f>('Sources'!$D$6+'Sources'!$D$7*D75+'Sources'!$D$8*(D75-E75)+'Sources'!$D$9*(F75-G75))/100</x:f>
        <x:v>0.038793038556921455</x:v>
      </x:c>
      <x:c r="I75" s="20" t="n">
        <x:f>-C75*H75</x:f>
        <x:v>-2.6767196604275805</x:v>
      </x:c>
      <x:c r="J75" s="20" t="n">
        <x:f>EXP(I75)</x:f>
        <x:v>0.06878843387704225</x:v>
      </x:c>
      <x:c r="K75" s="46" t="n">
        <x:f>IF(C75&lt;=30,I75,IF('Controls'!$F$14=1,I75,IF('Controls'!$F$14=2,$I$36+(C75-30)*($I$36-$I$35),-C75*$H$36)))</x:f>
        <x:v>-2.6767196604275805</x:v>
      </x:c>
      <x:c r="L75" s="48" t="n">
        <x:f>'Controls'!$F$8+N75*'Controls'!$F$9+O75*'Controls'!$F$10+P75*'Controls'!$F$11+Q75*'Controls'!$F$12+R75*'Controls'!$F$13</x:f>
        <x:v>0</x:v>
      </x:c>
      <x:c r="M75" s="20" t="n">
        <x:f>EXP(K75-C75*L75)</x:f>
        <x:v>0.06878843387704225</x:v>
      </x:c>
      <x:c r="N75" s="20" t="n">
        <x:f>IF(C75&lt;=1,1,IF(C75&lt;5,(5-C75)/4,0))</x:f>
        <x:v>0</x:v>
      </x:c>
      <x:c r="O75" s="20" t="n">
        <x:f>IF(C75&lt;=1,0,IF(C75&lt;5,(C75-1)/4,IF(C75&lt;10,(10-C75)/5,0)))</x:f>
        <x:v>0</x:v>
      </x:c>
      <x:c r="P75" s="20" t="n">
        <x:f>IF(C75&lt;=5,0,IF(C75&lt;10,(C75-5)/5,IF(C75&lt;20,(20-C75)/10,0)))</x:f>
        <x:v>0</x:v>
      </x:c>
      <x:c r="Q75" s="20" t="n">
        <x:f>IF(C75&lt;=10,0,IF(C75&lt;20,(C75-10)/10,IF(C75&lt;30,(30-C75)/10,0)))</x:f>
        <x:v>0</x:v>
      </x:c>
      <x:c r="R75" s="20" t="n">
        <x:f>IF(C75&lt;=20,0,IF(C75&lt;30,(C75-20)/10,1))</x:f>
        <x:v>1</x:v>
      </x:c>
    </x:row>
    <x:row r="76" ht="20" customHeight="1">
      <x:c r="A76" s="2"/>
      <x:c r="B76" s="2"/>
      <x:c r="C76" s="2" t="n">
        <x:v>70</x:v>
      </x:c>
      <x:c r="D76" s="46" t="n">
        <x:f>IF(C76=0,1,(1-EXP(-C76/'Sources'!$D$10))/(C76/'Sources'!$D$10))</x:f>
        <x:v>0.026636423983445425</x:v>
      </x:c>
      <x:c r="E76" s="46" t="n">
        <x:f>EXP(-C76/'Sources'!$D$10)</x:f>
        <x:v>4.959820353104674e-17</x:v>
      </x:c>
      <x:c r="F76" s="46" t="n">
        <x:f>IF(C76=0,1,(1-EXP(-C76/'Sources'!$D$11))/(C76/'Sources'!$D$11))</x:f>
        <x:v>0.22172251177503755</x:v>
      </x:c>
      <x:c r="G76" s="46" t="n">
        <x:f>EXP(-C76/'Sources'!$D$11)</x:f>
        <x:v>0.011586860270250722</x:v>
      </x:c>
      <x:c r="H76" s="47" t="n">
        <x:f>('Sources'!$D$6+'Sources'!$D$7*D76+'Sources'!$D$8*(D76-E76)+'Sources'!$D$9*(F76-G76))/100</x:f>
        <x:v>0.03836814257167899</x:v>
      </x:c>
      <x:c r="I76" s="20" t="n">
        <x:f>-C76*H76</x:f>
        <x:v>-2.6857699800175294</x:v>
      </x:c>
      <x:c r="J76" s="20" t="n">
        <x:f>EXP(I76)</x:f>
        <x:v>0.06816868525810278</x:v>
      </x:c>
      <x:c r="K76" s="46" t="n">
        <x:f>IF(C76&lt;=30,I76,IF('Controls'!$F$14=1,I76,IF('Controls'!$F$14=2,$I$36+(C76-30)*($I$36-$I$35),-C76*$H$36)))</x:f>
        <x:v>-2.6857699800175294</x:v>
      </x:c>
      <x:c r="L76" s="48" t="n">
        <x:f>'Controls'!$F$8+N76*'Controls'!$F$9+O76*'Controls'!$F$10+P76*'Controls'!$F$11+Q76*'Controls'!$F$12+R76*'Controls'!$F$13</x:f>
        <x:v>0</x:v>
      </x:c>
      <x:c r="M76" s="20" t="n">
        <x:f>EXP(K76-C76*L76)</x:f>
        <x:v>0.06816868525810278</x:v>
      </x:c>
      <x:c r="N76" s="20" t="n">
        <x:f>IF(C76&lt;=1,1,IF(C76&lt;5,(5-C76)/4,0))</x:f>
        <x:v>0</x:v>
      </x:c>
      <x:c r="O76" s="20" t="n">
        <x:f>IF(C76&lt;=1,0,IF(C76&lt;5,(C76-1)/4,IF(C76&lt;10,(10-C76)/5,0)))</x:f>
        <x:v>0</x:v>
      </x:c>
      <x:c r="P76" s="20" t="n">
        <x:f>IF(C76&lt;=5,0,IF(C76&lt;10,(C76-5)/5,IF(C76&lt;20,(20-C76)/10,0)))</x:f>
        <x:v>0</x:v>
      </x:c>
      <x:c r="Q76" s="20" t="n">
        <x:f>IF(C76&lt;=10,0,IF(C76&lt;20,(C76-10)/10,IF(C76&lt;30,(30-C76)/10,0)))</x:f>
        <x:v>0</x:v>
      </x:c>
      <x:c r="R76" s="20" t="n">
        <x:f>IF(C76&lt;=20,0,IF(C76&lt;30,(C76-20)/10,1))</x:f>
        <x:v>1</x:v>
      </x:c>
    </x:row>
    <x:row r="77" ht="20" customHeight="1">
      <x:c r="A77" s="2"/>
      <x:c r="B77" s="2"/>
      <x:c r="C77" s="2" t="n">
        <x:v>71</x:v>
      </x:c>
      <x:c r="D77" s="46" t="n">
        <x:f>IF(C77=0,1,(1-EXP(-C77/'Sources'!$D$10))/(C77/'Sources'!$D$10))</x:f>
        <x:v>0.02626126308227014</x:v>
      </x:c>
      <x:c r="E77" s="46" t="n">
        <x:f>EXP(-C77/'Sources'!$D$10)</x:f>
        <x:v>2.9009753020983356e-17</x:v>
      </x:c>
      <x:c r="F77" s="46" t="n">
        <x:f>IF(C77=0,1,(1-EXP(-C77/'Sources'!$D$11))/(C77/'Sources'!$D$11))</x:f>
        <x:v>0.21875776682195214</x:v>
      </x:c>
      <x:c r="G77" s="46" t="n">
        <x:f>EXP(-C77/'Sources'!$D$11)</x:f>
        <x:v>0.010871967308803781</x:v>
      </x:c>
      <x:c r="H77" s="47" t="n">
        <x:f>('Sources'!$D$6+'Sources'!$D$7*D77+'Sources'!$D$8*(D77-E77)+'Sources'!$D$9*(F77-G77))/100</x:f>
        <x:v>0.03794907187285862</x:v>
      </x:c>
      <x:c r="I77" s="20" t="n">
        <x:f>-C77*H77</x:f>
        <x:v>-2.694384102972962</x:v>
      </x:c>
      <x:c r="J77" s="20" t="n">
        <x:f>EXP(I77)</x:f>
        <x:v>0.06758399373938574</x:v>
      </x:c>
      <x:c r="K77" s="46" t="n">
        <x:f>IF(C77&lt;=30,I77,IF('Controls'!$F$14=1,I77,IF('Controls'!$F$14=2,$I$36+(C77-30)*($I$36-$I$35),-C77*$H$36)))</x:f>
        <x:v>-2.694384102972962</x:v>
      </x:c>
      <x:c r="L77" s="48" t="n">
        <x:f>'Controls'!$F$8+N77*'Controls'!$F$9+O77*'Controls'!$F$10+P77*'Controls'!$F$11+Q77*'Controls'!$F$12+R77*'Controls'!$F$13</x:f>
        <x:v>0</x:v>
      </x:c>
      <x:c r="M77" s="20" t="n">
        <x:f>EXP(K77-C77*L77)</x:f>
        <x:v>0.06758399373938574</x:v>
      </x:c>
      <x:c r="N77" s="20" t="n">
        <x:f>IF(C77&lt;=1,1,IF(C77&lt;5,(5-C77)/4,0))</x:f>
        <x:v>0</x:v>
      </x:c>
      <x:c r="O77" s="20" t="n">
        <x:f>IF(C77&lt;=1,0,IF(C77&lt;5,(C77-1)/4,IF(C77&lt;10,(10-C77)/5,0)))</x:f>
        <x:v>0</x:v>
      </x:c>
      <x:c r="P77" s="20" t="n">
        <x:f>IF(C77&lt;=5,0,IF(C77&lt;10,(C77-5)/5,IF(C77&lt;20,(20-C77)/10,0)))</x:f>
        <x:v>0</x:v>
      </x:c>
      <x:c r="Q77" s="20" t="n">
        <x:f>IF(C77&lt;=10,0,IF(C77&lt;20,(C77-10)/10,IF(C77&lt;30,(30-C77)/10,0)))</x:f>
        <x:v>0</x:v>
      </x:c>
      <x:c r="R77" s="20" t="n">
        <x:f>IF(C77&lt;=20,0,IF(C77&lt;30,(C77-20)/10,1))</x:f>
        <x:v>1</x:v>
      </x:c>
    </x:row>
    <x:row r="78" ht="20" customHeight="1">
      <x:c r="A78" s="2"/>
      <x:c r="B78" s="2"/>
      <x:c r="C78" s="2" t="n">
        <x:v>72</x:v>
      </x:c>
      <x:c r="D78" s="46" t="n">
        <x:f>IF(C78=0,1,(1-EXP(-C78/'Sources'!$D$10))/(C78/'Sources'!$D$10))</x:f>
        <x:v>0.025896523317238608</x:v>
      </x:c>
      <x:c r="E78" s="46" t="n">
        <x:f>EXP(-C78/'Sources'!$D$10)</x:f>
        <x:v>1.696766637549004e-17</x:v>
      </x:c>
      <x:c r="F78" s="46" t="n">
        <x:f>IF(C78=0,1,(1-EXP(-C78/'Sources'!$D$11))/(C78/'Sources'!$D$11))</x:f>
        <x:v>0.21586575638211877</x:v>
      </x:c>
      <x:c r="G78" s="46" t="n">
        <x:f>EXP(-C78/'Sources'!$D$11)</x:f>
        <x:v>0.010201182236328162</x:v>
      </x:c>
      <x:c r="H78" s="47" t="n">
        <x:f>('Sources'!$D$6+'Sources'!$D$7*D78+'Sources'!$D$8*(D78-E78)+'Sources'!$D$9*(F78-G78))/100</x:f>
        <x:v>0.03753585281571689</x:v>
      </x:c>
      <x:c r="I78" s="20" t="n">
        <x:f>-C78*H78</x:f>
        <x:v>-2.7025814027316164</x:v>
      </x:c>
      <x:c r="J78" s="20" t="n">
        <x:f>EXP(I78)</x:f>
        <x:v>0.0670322519697085</x:v>
      </x:c>
      <x:c r="K78" s="46" t="n">
        <x:f>IF(C78&lt;=30,I78,IF('Controls'!$F$14=1,I78,IF('Controls'!$F$14=2,$I$36+(C78-30)*($I$36-$I$35),-C78*$H$36)))</x:f>
        <x:v>-2.7025814027316164</x:v>
      </x:c>
      <x:c r="L78" s="48" t="n">
        <x:f>'Controls'!$F$8+N78*'Controls'!$F$9+O78*'Controls'!$F$10+P78*'Controls'!$F$11+Q78*'Controls'!$F$12+R78*'Controls'!$F$13</x:f>
        <x:v>0</x:v>
      </x:c>
      <x:c r="M78" s="20" t="n">
        <x:f>EXP(K78-C78*L78)</x:f>
        <x:v>0.0670322519697085</x:v>
      </x:c>
      <x:c r="N78" s="20" t="n">
        <x:f>IF(C78&lt;=1,1,IF(C78&lt;5,(5-C78)/4,0))</x:f>
        <x:v>0</x:v>
      </x:c>
      <x:c r="O78" s="20" t="n">
        <x:f>IF(C78&lt;=1,0,IF(C78&lt;5,(C78-1)/4,IF(C78&lt;10,(10-C78)/5,0)))</x:f>
        <x:v>0</x:v>
      </x:c>
      <x:c r="P78" s="20" t="n">
        <x:f>IF(C78&lt;=5,0,IF(C78&lt;10,(C78-5)/5,IF(C78&lt;20,(20-C78)/10,0)))</x:f>
        <x:v>0</x:v>
      </x:c>
      <x:c r="Q78" s="20" t="n">
        <x:f>IF(C78&lt;=10,0,IF(C78&lt;20,(C78-10)/10,IF(C78&lt;30,(30-C78)/10,0)))</x:f>
        <x:v>0</x:v>
      </x:c>
      <x:c r="R78" s="20" t="n">
        <x:f>IF(C78&lt;=20,0,IF(C78&lt;30,(C78-20)/10,1))</x:f>
        <x:v>1</x:v>
      </x:c>
    </x:row>
    <x:row r="79" ht="20" customHeight="1">
      <x:c r="A79" s="2"/>
      <x:c r="B79" s="2"/>
      <x:c r="C79" s="2" t="n">
        <x:v>73</x:v>
      </x:c>
      <x:c r="D79" s="46" t="n">
        <x:f>IF(C79=0,1,(1-EXP(-C79/'Sources'!$D$10))/(C79/'Sources'!$D$10))</x:f>
        <x:v>0.025541776422481916</x:v>
      </x:c>
      <x:c r="E79" s="46" t="n">
        <x:f>EXP(-C79/'Sources'!$D$10)</x:f>
        <x:v>9.924307250106196e-18</x:v>
      </x:c>
      <x:c r="F79" s="46" t="n">
        <x:f>IF(C79=0,1,(1-EXP(-C79/'Sources'!$D$11))/(C79/'Sources'!$D$11))</x:f>
        <x:v>0.21304407674609108</x:v>
      </x:c>
      <x:c r="G79" s="46" t="n">
        <x:f>EXP(-C79/'Sources'!$D$11)</x:f>
        <x:v>0.009571783658189385</x:v>
      </x:c>
      <x:c r="H79" s="47" t="n">
        <x:f>('Sources'!$D$6+'Sources'!$D$7*D79+'Sources'!$D$8*(D79-E79)+'Sources'!$D$9*(F79-G79))/100</x:f>
        <x:v>0.0371285003093203</x:v>
      </x:c>
      <x:c r="I79" s="20" t="n">
        <x:f>-C79*H79</x:f>
        <x:v>-2.710380522580382</x:v>
      </x:c>
      <x:c r="J79" s="20" t="n">
        <x:f>EXP(I79)</x:f>
        <x:v>0.06651149277420378</x:v>
      </x:c>
      <x:c r="K79" s="46" t="n">
        <x:f>IF(C79&lt;=30,I79,IF('Controls'!$F$14=1,I79,IF('Controls'!$F$14=2,$I$36+(C79-30)*($I$36-$I$35),-C79*$H$36)))</x:f>
        <x:v>-2.710380522580382</x:v>
      </x:c>
      <x:c r="L79" s="48" t="n">
        <x:f>'Controls'!$F$8+N79*'Controls'!$F$9+O79*'Controls'!$F$10+P79*'Controls'!$F$11+Q79*'Controls'!$F$12+R79*'Controls'!$F$13</x:f>
        <x:v>0</x:v>
      </x:c>
      <x:c r="M79" s="20" t="n">
        <x:f>EXP(K79-C79*L79)</x:f>
        <x:v>0.06651149277420378</x:v>
      </x:c>
      <x:c r="N79" s="20" t="n">
        <x:f>IF(C79&lt;=1,1,IF(C79&lt;5,(5-C79)/4,0))</x:f>
        <x:v>0</x:v>
      </x:c>
      <x:c r="O79" s="20" t="n">
        <x:f>IF(C79&lt;=1,0,IF(C79&lt;5,(C79-1)/4,IF(C79&lt;10,(10-C79)/5,0)))</x:f>
        <x:v>0</x:v>
      </x:c>
      <x:c r="P79" s="20" t="n">
        <x:f>IF(C79&lt;=5,0,IF(C79&lt;10,(C79-5)/5,IF(C79&lt;20,(20-C79)/10,0)))</x:f>
        <x:v>0</x:v>
      </x:c>
      <x:c r="Q79" s="20" t="n">
        <x:f>IF(C79&lt;=10,0,IF(C79&lt;20,(C79-10)/10,IF(C79&lt;30,(30-C79)/10,0)))</x:f>
        <x:v>0</x:v>
      </x:c>
      <x:c r="R79" s="20" t="n">
        <x:f>IF(C79&lt;=20,0,IF(C79&lt;30,(C79-20)/10,1))</x:f>
        <x:v>1</x:v>
      </x:c>
    </x:row>
    <x:row r="80" ht="20" customHeight="1">
      <x:c r="A80" s="2"/>
      <x:c r="B80" s="2"/>
      <x:c r="C80" s="2" t="n">
        <x:v>74</x:v>
      </x:c>
      <x:c r="D80" s="46" t="n">
        <x:f>IF(C80=0,1,(1-EXP(-C80/'Sources'!$D$10))/(C80/'Sources'!$D$10))</x:f>
        <x:v>0.025196617281637565</x:v>
      </x:c>
      <x:c r="E80" s="46" t="n">
        <x:f>EXP(-C80/'Sources'!$D$10)</x:f>
        <x:v>5.80468004349631e-18</x:v>
      </x:c>
      <x:c r="F80" s="46" t="n">
        <x:f>IF(C80=0,1,(1-EXP(-C80/'Sources'!$D$11))/(C80/'Sources'!$D$11))</x:f>
        <x:v>0.21029041850560218</x:v>
      </x:c>
      <x:c r="G80" s="46" t="n">
        <x:f>EXP(-C80/'Sources'!$D$11)</x:f>
        <x:v>0.008981218085969501</x:v>
      </x:c>
      <x:c r="H80" s="47" t="n">
        <x:f>('Sources'!$D$6+'Sources'!$D$7*D80+'Sources'!$D$8*(D80-E80)+'Sources'!$D$9*(F80-G80))/100</x:f>
        <x:v>0.036727018810874104</x:v>
      </x:c>
      <x:c r="I80" s="20" t="n">
        <x:f>-C80*H80</x:f>
        <x:v>-2.7177993920046837</x:v>
      </x:c>
      <x:c r="J80" s="20" t="n">
        <x:f>EXP(I80)</x:f>
        <x:v>0.06601987855978156</x:v>
      </x:c>
      <x:c r="K80" s="46" t="n">
        <x:f>IF(C80&lt;=30,I80,IF('Controls'!$F$14=1,I80,IF('Controls'!$F$14=2,$I$36+(C80-30)*($I$36-$I$35),-C80*$H$36)))</x:f>
        <x:v>-2.7177993920046837</x:v>
      </x:c>
      <x:c r="L80" s="48" t="n">
        <x:f>'Controls'!$F$8+N80*'Controls'!$F$9+O80*'Controls'!$F$10+P80*'Controls'!$F$11+Q80*'Controls'!$F$12+R80*'Controls'!$F$13</x:f>
        <x:v>0</x:v>
      </x:c>
      <x:c r="M80" s="20" t="n">
        <x:f>EXP(K80-C80*L80)</x:f>
        <x:v>0.06601987855978156</x:v>
      </x:c>
      <x:c r="N80" s="20" t="n">
        <x:f>IF(C80&lt;=1,1,IF(C80&lt;5,(5-C80)/4,0))</x:f>
        <x:v>0</x:v>
      </x:c>
      <x:c r="O80" s="20" t="n">
        <x:f>IF(C80&lt;=1,0,IF(C80&lt;5,(C80-1)/4,IF(C80&lt;10,(10-C80)/5,0)))</x:f>
        <x:v>0</x:v>
      </x:c>
      <x:c r="P80" s="20" t="n">
        <x:f>IF(C80&lt;=5,0,IF(C80&lt;10,(C80-5)/5,IF(C80&lt;20,(20-C80)/10,0)))</x:f>
        <x:v>0</x:v>
      </x:c>
      <x:c r="Q80" s="20" t="n">
        <x:f>IF(C80&lt;=10,0,IF(C80&lt;20,(C80-10)/10,IF(C80&lt;30,(30-C80)/10,0)))</x:f>
        <x:v>0</x:v>
      </x:c>
      <x:c r="R80" s="20" t="n">
        <x:f>IF(C80&lt;=20,0,IF(C80&lt;30,(C80-20)/10,1))</x:f>
        <x:v>1</x:v>
      </x:c>
    </x:row>
    <x:row r="81" ht="20" customHeight="1">
      <x:c r="A81" s="2"/>
      <x:c r="B81" s="2"/>
      <x:c r="C81" s="2" t="n">
        <x:v>75</x:v>
      </x:c>
      <x:c r="D81" s="46" t="n">
        <x:f>IF(C81=0,1,(1-EXP(-C81/'Sources'!$D$10))/(C81/'Sources'!$D$10))</x:f>
        <x:v>0.024860662384549065</x:v>
      </x:c>
      <x:c r="E81" s="46" t="n">
        <x:f>EXP(-C81/'Sources'!$D$10)</x:f>
        <x:v>3.3951297111447026e-18</x:v>
      </x:c>
      <x:c r="F81" s="46" t="n">
        <x:f>IF(C81=0,1,(1-EXP(-C81/'Sources'!$D$11))/(C81/'Sources'!$D$11))</x:f>
        <x:v>0.20760256243577216</x:v>
      </x:c>
      <x:c r="G81" s="46" t="n">
        <x:f>EXP(-C81/'Sources'!$D$11)</x:f>
        <x:v>0.008427089577890016</x:v>
      </x:c>
      <x:c r="H81" s="47" t="n">
        <x:f>('Sources'!$D$6+'Sources'!$D$7*D81+'Sources'!$D$8*(D81-E81)+'Sources'!$D$9*(F81-G81))/100</x:f>
        <x:v>0.03633140325066487</x:v>
      </x:c>
      <x:c r="I81" s="20" t="n">
        <x:f>-C81*H81</x:f>
        <x:v>-2.724855243799865</x:v>
      </x:c>
      <x:c r="J81" s="20" t="n">
        <x:f>EXP(I81)</x:f>
        <x:v>0.06555569162403549</x:v>
      </x:c>
      <x:c r="K81" s="46" t="n">
        <x:f>IF(C81&lt;=30,I81,IF('Controls'!$F$14=1,I81,IF('Controls'!$F$14=2,$I$36+(C81-30)*($I$36-$I$35),-C81*$H$36)))</x:f>
        <x:v>-2.724855243799865</x:v>
      </x:c>
      <x:c r="L81" s="48" t="n">
        <x:f>'Controls'!$F$8+N81*'Controls'!$F$9+O81*'Controls'!$F$10+P81*'Controls'!$F$11+Q81*'Controls'!$F$12+R81*'Controls'!$F$13</x:f>
        <x:v>0</x:v>
      </x:c>
      <x:c r="M81" s="20" t="n">
        <x:f>EXP(K81-C81*L81)</x:f>
        <x:v>0.06555569162403549</x:v>
      </x:c>
      <x:c r="N81" s="20" t="n">
        <x:f>IF(C81&lt;=1,1,IF(C81&lt;5,(5-C81)/4,0))</x:f>
        <x:v>0</x:v>
      </x:c>
      <x:c r="O81" s="20" t="n">
        <x:f>IF(C81&lt;=1,0,IF(C81&lt;5,(C81-1)/4,IF(C81&lt;10,(10-C81)/5,0)))</x:f>
        <x:v>0</x:v>
      </x:c>
      <x:c r="P81" s="20" t="n">
        <x:f>IF(C81&lt;=5,0,IF(C81&lt;10,(C81-5)/5,IF(C81&lt;20,(20-C81)/10,0)))</x:f>
        <x:v>0</x:v>
      </x:c>
      <x:c r="Q81" s="20" t="n">
        <x:f>IF(C81&lt;=10,0,IF(C81&lt;20,(C81-10)/10,IF(C81&lt;30,(30-C81)/10,0)))</x:f>
        <x:v>0</x:v>
      </x:c>
      <x:c r="R81" s="20" t="n">
        <x:f>IF(C81&lt;=20,0,IF(C81&lt;30,(C81-20)/10,1))</x:f>
        <x:v>1</x:v>
      </x:c>
    </x:row>
    <x:row r="82" ht="20" customHeight="1">
      <x:c r="A82" s="2"/>
      <x:c r="B82" s="2"/>
      <x:c r="C82" s="2" t="n">
        <x:v>76</x:v>
      </x:c>
      <x:c r="D82" s="46" t="n">
        <x:f>IF(C82=0,1,(1-EXP(-C82/'Sources'!$D$10))/(C82/'Sources'!$D$10))</x:f>
        <x:v>0.024533548405805</x:v>
      </x:c>
      <x:c r="E82" s="46" t="n">
        <x:f>EXP(-C82/'Sources'!$D$10)</x:f>
        <x:v>1.98579519786151e-18</x:v>
      </x:c>
      <x:c r="F82" s="46" t="n">
        <x:f>IF(C82=0,1,(1-EXP(-C82/'Sources'!$D$11))/(C82/'Sources'!$D$11))</x:f>
        <x:v>0.2049783755703436</x:v>
      </x:c>
      <x:c r="G82" s="46" t="n">
        <x:f>EXP(-C82/'Sources'!$D$11)</x:f>
        <x:v>0.007907150018406053</x:v>
      </x:c>
      <x:c r="H82" s="47" t="n">
        <x:f>('Sources'!$D$6+'Sources'!$D$7*D82+'Sources'!$D$8*(D82-E82)+'Sources'!$D$9*(F82-G82))/100</x:f>
        <x:v>0.03594163989195157</x:v>
      </x:c>
      <x:c r="I82" s="20" t="n">
        <x:f>-C82*H82</x:f>
        <x:v>-2.7315646317883195</x:v>
      </x:c>
      <x:c r="J82" s="20" t="n">
        <x:f>EXP(I82)</x:f>
        <x:v>0.06511732528346126</x:v>
      </x:c>
      <x:c r="K82" s="46" t="n">
        <x:f>IF(C82&lt;=30,I82,IF('Controls'!$F$14=1,I82,IF('Controls'!$F$14=2,$I$36+(C82-30)*($I$36-$I$35),-C82*$H$36)))</x:f>
        <x:v>-2.7315646317883195</x:v>
      </x:c>
      <x:c r="L82" s="48" t="n">
        <x:f>'Controls'!$F$8+N82*'Controls'!$F$9+O82*'Controls'!$F$10+P82*'Controls'!$F$11+Q82*'Controls'!$F$12+R82*'Controls'!$F$13</x:f>
        <x:v>0</x:v>
      </x:c>
      <x:c r="M82" s="20" t="n">
        <x:f>EXP(K82-C82*L82)</x:f>
        <x:v>0.06511732528346126</x:v>
      </x:c>
      <x:c r="N82" s="20" t="n">
        <x:f>IF(C82&lt;=1,1,IF(C82&lt;5,(5-C82)/4,0))</x:f>
        <x:v>0</x:v>
      </x:c>
      <x:c r="O82" s="20" t="n">
        <x:f>IF(C82&lt;=1,0,IF(C82&lt;5,(C82-1)/4,IF(C82&lt;10,(10-C82)/5,0)))</x:f>
        <x:v>0</x:v>
      </x:c>
      <x:c r="P82" s="20" t="n">
        <x:f>IF(C82&lt;=5,0,IF(C82&lt;10,(C82-5)/5,IF(C82&lt;20,(20-C82)/10,0)))</x:f>
        <x:v>0</x:v>
      </x:c>
      <x:c r="Q82" s="20" t="n">
        <x:f>IF(C82&lt;=10,0,IF(C82&lt;20,(C82-10)/10,IF(C82&lt;30,(30-C82)/10,0)))</x:f>
        <x:v>0</x:v>
      </x:c>
      <x:c r="R82" s="20" t="n">
        <x:f>IF(C82&lt;=20,0,IF(C82&lt;30,(C82-20)/10,1))</x:f>
        <x:v>1</x:v>
      </x:c>
    </x:row>
    <x:row r="83" ht="20" customHeight="1">
      <x:c r="A83" s="2"/>
      <x:c r="B83" s="2"/>
      <x:c r="C83" s="2" t="n">
        <x:v>77</x:v>
      </x:c>
      <x:c r="D83" s="46" t="n">
        <x:f>IF(C83=0,1,(1-EXP(-C83/'Sources'!$D$10))/(C83/'Sources'!$D$10))</x:f>
        <x:v>0.0242149308940413</x:v>
      </x:c>
      <x:c r="E83" s="46" t="n">
        <x:f>EXP(-C83/'Sources'!$D$10)</x:f>
        <x:v>1.1614821533638197e-18</x:v>
      </x:c>
      <x:c r="F83" s="46" t="n">
        <x:f>IF(C83=0,1,(1-EXP(-C83/'Sources'!$D$11))/(C83/'Sources'!$D$11))</x:f>
        <x:v>0.20241580746043994</x:v>
      </x:c>
      <x:c r="G83" s="46" t="n">
        <x:f>EXP(-C83/'Sources'!$D$11)</x:f>
        <x:v>0.0074192899975359435</x:v>
      </x:c>
      <x:c r="H83" s="47" t="n">
        <x:f>('Sources'!$D$6+'Sources'!$D$7*D83+'Sources'!$D$8*(D83-E83)+'Sources'!$D$9*(F83-G83))/100</x:f>
        <x:v>0.03555770712990234</x:v>
      </x:c>
      <x:c r="I83" s="20" t="n">
        <x:f>-C83*H83</x:f>
        <x:v>-2.73794344900248</x:v>
      </x:c>
      <x:c r="J83" s="20" t="n">
        <x:f>EXP(I83)</x:f>
        <x:v>0.06470327574511259</x:v>
      </x:c>
      <x:c r="K83" s="46" t="n">
        <x:f>IF(C83&lt;=30,I83,IF('Controls'!$F$14=1,I83,IF('Controls'!$F$14=2,$I$36+(C83-30)*($I$36-$I$35),-C83*$H$36)))</x:f>
        <x:v>-2.73794344900248</x:v>
      </x:c>
      <x:c r="L83" s="48" t="n">
        <x:f>'Controls'!$F$8+N83*'Controls'!$F$9+O83*'Controls'!$F$10+P83*'Controls'!$F$11+Q83*'Controls'!$F$12+R83*'Controls'!$F$13</x:f>
        <x:v>0</x:v>
      </x:c>
      <x:c r="M83" s="20" t="n">
        <x:f>EXP(K83-C83*L83)</x:f>
        <x:v>0.06470327574511259</x:v>
      </x:c>
      <x:c r="N83" s="20" t="n">
        <x:f>IF(C83&lt;=1,1,IF(C83&lt;5,(5-C83)/4,0))</x:f>
        <x:v>0</x:v>
      </x:c>
      <x:c r="O83" s="20" t="n">
        <x:f>IF(C83&lt;=1,0,IF(C83&lt;5,(C83-1)/4,IF(C83&lt;10,(10-C83)/5,0)))</x:f>
        <x:v>0</x:v>
      </x:c>
      <x:c r="P83" s="20" t="n">
        <x:f>IF(C83&lt;=5,0,IF(C83&lt;10,(C83-5)/5,IF(C83&lt;20,(20-C83)/10,0)))</x:f>
        <x:v>0</x:v>
      </x:c>
      <x:c r="Q83" s="20" t="n">
        <x:f>IF(C83&lt;=10,0,IF(C83&lt;20,(C83-10)/10,IF(C83&lt;30,(30-C83)/10,0)))</x:f>
        <x:v>0</x:v>
      </x:c>
      <x:c r="R83" s="20" t="n">
        <x:f>IF(C83&lt;=20,0,IF(C83&lt;30,(C83-20)/10,1))</x:f>
        <x:v>1</x:v>
      </x:c>
    </x:row>
    <x:row r="84" ht="20" customHeight="1">
      <x:c r="A84" s="2"/>
      <x:c r="B84" s="2"/>
      <x:c r="C84" s="2" t="n">
        <x:v>78</x:v>
      </x:c>
      <x:c r="D84" s="46" t="n">
        <x:f>IF(C84=0,1,(1-EXP(-C84/'Sources'!$D$10))/(C84/'Sources'!$D$10))</x:f>
        <x:v>0.02390448306206641</x:v>
      </x:c>
      <x:c r="E84" s="46" t="n">
        <x:f>EXP(-C84/'Sources'!$D$10)</x:f>
        <x:v>6.793453796420846e-19</x:v>
      </x:c>
      <x:c r="F84" s="46" t="n">
        <x:f>IF(C84=0,1,(1-EXP(-C84/'Sources'!$D$11))/(C84/'Sources'!$D$11))</x:f>
        <x:v>0.19991288660782558</x:v>
      </x:c>
      <x:c r="G84" s="46" t="n">
        <x:f>EXP(-C84/'Sources'!$D$11)</x:f>
        <x:v>0.006961530252923324</x:v>
      </x:c>
      <x:c r="H84" s="47" t="n">
        <x:f>('Sources'!$D$6+'Sources'!$D$7*D84+'Sources'!$D$8*(D84-E84)+'Sources'!$D$9*(F84-G84))/100</x:f>
        <x:v>0.035179576233445316</x:v>
      </x:c>
      <x:c r="I84" s="20" t="n">
        <x:f>-C84*H84</x:f>
        <x:v>-2.7440069462087346</x:v>
      </x:c>
      <x:c r="J84" s="20" t="n">
        <x:f>EXP(I84)</x:f>
        <x:v>0.0643121346532458</x:v>
      </x:c>
      <x:c r="K84" s="46" t="n">
        <x:f>IF(C84&lt;=30,I84,IF('Controls'!$F$14=1,I84,IF('Controls'!$F$14=2,$I$36+(C84-30)*($I$36-$I$35),-C84*$H$36)))</x:f>
        <x:v>-2.7440069462087346</x:v>
      </x:c>
      <x:c r="L84" s="48" t="n">
        <x:f>'Controls'!$F$8+N84*'Controls'!$F$9+O84*'Controls'!$F$10+P84*'Controls'!$F$11+Q84*'Controls'!$F$12+R84*'Controls'!$F$13</x:f>
        <x:v>0</x:v>
      </x:c>
      <x:c r="M84" s="20" t="n">
        <x:f>EXP(K84-C84*L84)</x:f>
        <x:v>0.0643121346532458</x:v>
      </x:c>
      <x:c r="N84" s="20" t="n">
        <x:f>IF(C84&lt;=1,1,IF(C84&lt;5,(5-C84)/4,0))</x:f>
        <x:v>0</x:v>
      </x:c>
      <x:c r="O84" s="20" t="n">
        <x:f>IF(C84&lt;=1,0,IF(C84&lt;5,(C84-1)/4,IF(C84&lt;10,(10-C84)/5,0)))</x:f>
        <x:v>0</x:v>
      </x:c>
      <x:c r="P84" s="20" t="n">
        <x:f>IF(C84&lt;=5,0,IF(C84&lt;10,(C84-5)/5,IF(C84&lt;20,(20-C84)/10,0)))</x:f>
        <x:v>0</x:v>
      </x:c>
      <x:c r="Q84" s="20" t="n">
        <x:f>IF(C84&lt;=10,0,IF(C84&lt;20,(C84-10)/10,IF(C84&lt;30,(30-C84)/10,0)))</x:f>
        <x:v>0</x:v>
      </x:c>
      <x:c r="R84" s="20" t="n">
        <x:f>IF(C84&lt;=20,0,IF(C84&lt;30,(C84-20)/10,1))</x:f>
        <x:v>1</x:v>
      </x:c>
    </x:row>
    <x:row r="85" ht="20" customHeight="1">
      <x:c r="A85" s="2"/>
      <x:c r="B85" s="2"/>
      <x:c r="C85" s="2" t="n">
        <x:v>79</x:v>
      </x:c>
      <x:c r="D85" s="46" t="n">
        <x:f>IF(C85=0,1,(1-EXP(-C85/'Sources'!$D$10))/(C85/'Sources'!$D$10))</x:f>
        <x:v>0.023601894668875696</x:v>
      </x:c>
      <x:c r="E85" s="46" t="n">
        <x:f>EXP(-C85/'Sources'!$D$10)</x:f>
        <x:v>3.9734587699384626e-19</x:v>
      </x:c>
      <x:c r="F85" s="46" t="n">
        <x:f>IF(C85=0,1,(1-EXP(-C85/'Sources'!$D$11))/(C85/'Sources'!$D$11))</x:f>
        <x:v>0.19746771706410624</x:v>
      </x:c>
      <x:c r="G85" s="46" t="n">
        <x:f>EXP(-C85/'Sources'!$D$11)</x:f>
        <x:v>0.006532013639911896</x:v>
      </x:c>
      <x:c r="H85" s="47" t="n">
        <x:f>('Sources'!$D$6+'Sources'!$D$7*D85+'Sources'!$D$8*(D85-E85)+'Sources'!$D$9*(F85-G85))/100</x:f>
        <x:v>0.03480721203368331</x:v>
      </x:c>
      <x:c r="I85" s="20" t="n">
        <x:f>-C85*H85</x:f>
        <x:v>-2.7497697506609815</x:v>
      </x:c>
      <x:c r="J85" s="20" t="n">
        <x:f>EXP(I85)</x:f>
        <x:v>0.06394258224918539</x:v>
      </x:c>
      <x:c r="K85" s="46" t="n">
        <x:f>IF(C85&lt;=30,I85,IF('Controls'!$F$14=1,I85,IF('Controls'!$F$14=2,$I$36+(C85-30)*($I$36-$I$35),-C85*$H$36)))</x:f>
        <x:v>-2.7497697506609815</x:v>
      </x:c>
      <x:c r="L85" s="48" t="n">
        <x:f>'Controls'!$F$8+N85*'Controls'!$F$9+O85*'Controls'!$F$10+P85*'Controls'!$F$11+Q85*'Controls'!$F$12+R85*'Controls'!$F$13</x:f>
        <x:v>0</x:v>
      </x:c>
      <x:c r="M85" s="20" t="n">
        <x:f>EXP(K85-C85*L85)</x:f>
        <x:v>0.06394258224918539</x:v>
      </x:c>
      <x:c r="N85" s="20" t="n">
        <x:f>IF(C85&lt;=1,1,IF(C85&lt;5,(5-C85)/4,0))</x:f>
        <x:v>0</x:v>
      </x:c>
      <x:c r="O85" s="20" t="n">
        <x:f>IF(C85&lt;=1,0,IF(C85&lt;5,(C85-1)/4,IF(C85&lt;10,(10-C85)/5,0)))</x:f>
        <x:v>0</x:v>
      </x:c>
      <x:c r="P85" s="20" t="n">
        <x:f>IF(C85&lt;=5,0,IF(C85&lt;10,(C85-5)/5,IF(C85&lt;20,(20-C85)/10,0)))</x:f>
        <x:v>0</x:v>
      </x:c>
      <x:c r="Q85" s="20" t="n">
        <x:f>IF(C85&lt;=10,0,IF(C85&lt;20,(C85-10)/10,IF(C85&lt;30,(30-C85)/10,0)))</x:f>
        <x:v>0</x:v>
      </x:c>
      <x:c r="R85" s="20" t="n">
        <x:f>IF(C85&lt;=20,0,IF(C85&lt;30,(C85-20)/10,1))</x:f>
        <x:v>1</x:v>
      </x:c>
    </x:row>
    <x:row r="86" ht="20" customHeight="1">
      <x:c r="A86" s="2"/>
      <x:c r="B86" s="2"/>
      <x:c r="C86" s="2" t="n">
        <x:v>80</x:v>
      </x:c>
      <x:c r="D86" s="46" t="n">
        <x:f>IF(C86=0,1,(1-EXP(-C86/'Sources'!$D$10))/(C86/'Sources'!$D$10))</x:f>
        <x:v>0.02330687098551475</x:v>
      </x:c>
      <x:c r="E86" s="46" t="n">
        <x:f>EXP(-C86/'Sources'!$D$10)</x:f>
        <x:v>2.3240571099076347e-19</x:v>
      </x:c>
      <x:c r="F86" s="46" t="n">
        <x:f>IF(C86=0,1,(1-EXP(-C86/'Sources'!$D$11))/(C86/'Sources'!$D$11))</x:f>
        <x:v>0.1950784751877448</x:v>
      </x:c>
      <x:c r="G86" s="46" t="n">
        <x:f>EXP(-C86/'Sources'!$D$11)</x:f>
        <x:v>0.006128997597055326</x:v>
      </x:c>
      <x:c r="H86" s="47" t="n">
        <x:f>('Sources'!$D$6+'Sources'!$D$7*D86+'Sources'!$D$8*(D86-E86)+'Sources'!$D$9*(F86-G86))/100</x:f>
        <x:v>0.034440573562312185</x:v>
      </x:c>
      <x:c r="I86" s="20" t="n">
        <x:f>-C86*H86</x:f>
        <x:v>-2.7552458849849746</x:v>
      </x:c>
      <x:c r="J86" s="20" t="n">
        <x:f>EXP(I86)</x:f>
        <x:v>0.0635933810886511</x:v>
      </x:c>
      <x:c r="K86" s="46" t="n">
        <x:f>IF(C86&lt;=30,I86,IF('Controls'!$F$14=1,I86,IF('Controls'!$F$14=2,$I$36+(C86-30)*($I$36-$I$35),-C86*$H$36)))</x:f>
        <x:v>-2.7552458849849746</x:v>
      </x:c>
      <x:c r="L86" s="48" t="n">
        <x:f>'Controls'!$F$8+N86*'Controls'!$F$9+O86*'Controls'!$F$10+P86*'Controls'!$F$11+Q86*'Controls'!$F$12+R86*'Controls'!$F$13</x:f>
        <x:v>0</x:v>
      </x:c>
      <x:c r="M86" s="20" t="n">
        <x:f>EXP(K86-C86*L86)</x:f>
        <x:v>0.0635933810886511</x:v>
      </x:c>
      <x:c r="N86" s="20" t="n">
        <x:f>IF(C86&lt;=1,1,IF(C86&lt;5,(5-C86)/4,0))</x:f>
        <x:v>0</x:v>
      </x:c>
      <x:c r="O86" s="20" t="n">
        <x:f>IF(C86&lt;=1,0,IF(C86&lt;5,(C86-1)/4,IF(C86&lt;10,(10-C86)/5,0)))</x:f>
        <x:v>0</x:v>
      </x:c>
      <x:c r="P86" s="20" t="n">
        <x:f>IF(C86&lt;=5,0,IF(C86&lt;10,(C86-5)/5,IF(C86&lt;20,(20-C86)/10,0)))</x:f>
        <x:v>0</x:v>
      </x:c>
      <x:c r="Q86" s="20" t="n">
        <x:f>IF(C86&lt;=10,0,IF(C86&lt;20,(C86-10)/10,IF(C86&lt;30,(30-C86)/10,0)))</x:f>
        <x:v>0</x:v>
      </x:c>
      <x:c r="R86" s="20" t="n">
        <x:f>IF(C86&lt;=20,0,IF(C86&lt;30,(C86-20)/10,1))</x:f>
        <x:v>1</x:v>
      </x:c>
    </x:row>
    <x:row r="87" ht="20" customHeight="1">
      <x:c r="A87" s="2"/>
      <x:c r="B87" s="2"/>
      <x:c r="C87" s="2" t="n">
        <x:v>81</x:v>
      </x:c>
      <x:c r="D87" s="46" t="n">
        <x:f>IF(C87=0,1,(1-EXP(-C87/'Sources'!$D$10))/(C87/'Sources'!$D$10))</x:f>
        <x:v>0.023019131837545434</x:v>
      </x:c>
      <x:c r="E87" s="46" t="n">
        <x:f>EXP(-C87/'Sources'!$D$10)</x:f>
        <x:v>1.3593299346593894e-19</x:v>
      </x:c>
      <x:c r="F87" s="46" t="n">
        <x:f>IF(C87=0,1,(1-EXP(-C87/'Sources'!$D$11))/(C87/'Sources'!$D$11))</x:f>
        <x:v>0.19274340655118005</x:v>
      </x:c>
      <x:c r="G87" s="46" t="n">
        <x:f>EXP(-C87/'Sources'!$D$11)</x:f>
        <x:v>0.005750847076494573</x:v>
      </x:c>
      <x:c r="H87" s="47" t="n">
        <x:f>('Sources'!$D$6+'Sources'!$D$7*D87+'Sources'!$D$8*(D87-E87)+'Sources'!$D$9*(F87-G87))/100</x:f>
        <x:v>0.034079614643283115</x:v>
      </x:c>
      <x:c r="I87" s="20" t="n">
        <x:f>-C87*H87</x:f>
        <x:v>-2.760448786105932</x:v>
      </x:c>
      <x:c r="J87" s="20" t="n">
        <x:f>EXP(I87)</x:f>
        <x:v>0.06326337026619257</x:v>
      </x:c>
      <x:c r="K87" s="46" t="n">
        <x:f>IF(C87&lt;=30,I87,IF('Controls'!$F$14=1,I87,IF('Controls'!$F$14=2,$I$36+(C87-30)*($I$36-$I$35),-C87*$H$36)))</x:f>
        <x:v>-2.760448786105932</x:v>
      </x:c>
      <x:c r="L87" s="48" t="n">
        <x:f>'Controls'!$F$8+N87*'Controls'!$F$9+O87*'Controls'!$F$10+P87*'Controls'!$F$11+Q87*'Controls'!$F$12+R87*'Controls'!$F$13</x:f>
        <x:v>0</x:v>
      </x:c>
      <x:c r="M87" s="20" t="n">
        <x:f>EXP(K87-C87*L87)</x:f>
        <x:v>0.06326337026619257</x:v>
      </x:c>
      <x:c r="N87" s="20" t="n">
        <x:f>IF(C87&lt;=1,1,IF(C87&lt;5,(5-C87)/4,0))</x:f>
        <x:v>0</x:v>
      </x:c>
      <x:c r="O87" s="20" t="n">
        <x:f>IF(C87&lt;=1,0,IF(C87&lt;5,(C87-1)/4,IF(C87&lt;10,(10-C87)/5,0)))</x:f>
        <x:v>0</x:v>
      </x:c>
      <x:c r="P87" s="20" t="n">
        <x:f>IF(C87&lt;=5,0,IF(C87&lt;10,(C87-5)/5,IF(C87&lt;20,(20-C87)/10,0)))</x:f>
        <x:v>0</x:v>
      </x:c>
      <x:c r="Q87" s="20" t="n">
        <x:f>IF(C87&lt;=10,0,IF(C87&lt;20,(C87-10)/10,IF(C87&lt;30,(30-C87)/10,0)))</x:f>
        <x:v>0</x:v>
      </x:c>
      <x:c r="R87" s="20" t="n">
        <x:f>IF(C87&lt;=20,0,IF(C87&lt;30,(C87-20)/10,1))</x:f>
        <x:v>1</x:v>
      </x:c>
    </x:row>
    <x:row r="88" ht="20" customHeight="1">
      <x:c r="A88" s="2"/>
      <x:c r="B88" s="2"/>
      <x:c r="C88" s="2" t="n">
        <x:v>82</x:v>
      </x:c>
      <x:c r="D88" s="46" t="n">
        <x:f>IF(C88=0,1,(1-EXP(-C88/'Sources'!$D$10))/(C88/'Sources'!$D$10))</x:f>
        <x:v>0.022738410717575364</x:v>
      </x:c>
      <x:c r="E88" s="46" t="n">
        <x:f>EXP(-C88/'Sources'!$D$10)</x:f>
        <x:v>7.950656046204144e-20</x:v>
      </x:c>
      <x:c r="F88" s="46" t="n">
        <x:f>IF(C88=0,1,(1-EXP(-C88/'Sources'!$D$11))/(C88/'Sources'!$D$11))</x:f>
        <x:v>0.19046082299072614</x:v>
      </x:c>
      <x:c r="G88" s="46" t="n">
        <x:f>EXP(-C88/'Sources'!$D$11)</x:f>
        <x:v>0.005396027910520918</x:v>
      </x:c>
      <x:c r="H88" s="47" t="n">
        <x:f>('Sources'!$D$6+'Sources'!$D$7*D88+'Sources'!$D$8*(D88-E88)+'Sources'!$D$9*(F88-G88))/100</x:f>
        <x:v>0.03372428444075819</x:v>
      </x:c>
      <x:c r="I88" s="20" t="n">
        <x:f>-C88*H88</x:f>
        <x:v>-2.7653913241421715</x:v>
      </x:c>
      <x:c r="J88" s="20" t="n">
        <x:f>EXP(I88)</x:f>
        <x:v>0.06295146010124089</x:v>
      </x:c>
      <x:c r="K88" s="46" t="n">
        <x:f>IF(C88&lt;=30,I88,IF('Controls'!$F$14=1,I88,IF('Controls'!$F$14=2,$I$36+(C88-30)*($I$36-$I$35),-C88*$H$36)))</x:f>
        <x:v>-2.7653913241421715</x:v>
      </x:c>
      <x:c r="L88" s="48" t="n">
        <x:f>'Controls'!$F$8+N88*'Controls'!$F$9+O88*'Controls'!$F$10+P88*'Controls'!$F$11+Q88*'Controls'!$F$12+R88*'Controls'!$F$13</x:f>
        <x:v>0</x:v>
      </x:c>
      <x:c r="M88" s="20" t="n">
        <x:f>EXP(K88-C88*L88)</x:f>
        <x:v>0.06295146010124089</x:v>
      </x:c>
      <x:c r="N88" s="20" t="n">
        <x:f>IF(C88&lt;=1,1,IF(C88&lt;5,(5-C88)/4,0))</x:f>
        <x:v>0</x:v>
      </x:c>
      <x:c r="O88" s="20" t="n">
        <x:f>IF(C88&lt;=1,0,IF(C88&lt;5,(C88-1)/4,IF(C88&lt;10,(10-C88)/5,0)))</x:f>
        <x:v>0</x:v>
      </x:c>
      <x:c r="P88" s="20" t="n">
        <x:f>IF(C88&lt;=5,0,IF(C88&lt;10,(C88-5)/5,IF(C88&lt;20,(20-C88)/10,0)))</x:f>
        <x:v>0</x:v>
      </x:c>
      <x:c r="Q88" s="20" t="n">
        <x:f>IF(C88&lt;=10,0,IF(C88&lt;20,(C88-10)/10,IF(C88&lt;30,(30-C88)/10,0)))</x:f>
        <x:v>0</x:v>
      </x:c>
      <x:c r="R88" s="20" t="n">
        <x:f>IF(C88&lt;=20,0,IF(C88&lt;30,(C88-20)/10,1))</x:f>
        <x:v>1</x:v>
      </x:c>
    </x:row>
    <x:row r="89" ht="20" customHeight="1">
      <x:c r="A89" s="2"/>
      <x:c r="B89" s="2"/>
      <x:c r="C89" s="2" t="n">
        <x:v>83</x:v>
      </x:c>
      <x:c r="D89" s="46" t="n">
        <x:f>IF(C89=0,1,(1-EXP(-C89/'Sources'!$D$10))/(C89/'Sources'!$D$10))</x:f>
        <x:v>0.022464453961941924</x:v>
      </x:c>
      <x:c r="E89" s="46" t="n">
        <x:f>EXP(-C89/'Sources'!$D$10)</x:f>
        <x:v>4.650300854360452e-20</x:v>
      </x:c>
      <x:c r="F89" s="46" t="n">
        <x:f>IF(C89=0,1,(1-EXP(-C89/'Sources'!$D$11))/(C89/'Sources'!$D$11))</x:f>
        <x:v>0.1882290997923038</x:v>
      </x:c>
      <x:c r="G89" s="46" t="n">
        <x:f>EXP(-C89/'Sources'!$D$11)</x:f>
        <x:v>0.005063100587412776</x:v>
      </x:c>
      <x:c r="H89" s="47" t="n">
        <x:f>('Sources'!$D$6+'Sources'!$D$7*D89+'Sources'!$D$8*(D89-E89)+'Sources'!$D$9*(F89-G89))/100</x:f>
        <x:v>0.03337452796622803</x:v>
      </x:c>
      <x:c r="I89" s="20" t="n">
        <x:f>-C89*H89</x:f>
        <x:v>-2.7700858211969264</x:v>
      </x:c>
      <x:c r="J89" s="20" t="n">
        <x:f>EXP(I89)</x:f>
        <x:v>0.06265662724465931</x:v>
      </x:c>
      <x:c r="K89" s="46" t="n">
        <x:f>IF(C89&lt;=30,I89,IF('Controls'!$F$14=1,I89,IF('Controls'!$F$14=2,$I$36+(C89-30)*($I$36-$I$35),-C89*$H$36)))</x:f>
        <x:v>-2.7700858211969264</x:v>
      </x:c>
      <x:c r="L89" s="48" t="n">
        <x:f>'Controls'!$F$8+N89*'Controls'!$F$9+O89*'Controls'!$F$10+P89*'Controls'!$F$11+Q89*'Controls'!$F$12+R89*'Controls'!$F$13</x:f>
        <x:v>0</x:v>
      </x:c>
      <x:c r="M89" s="20" t="n">
        <x:f>EXP(K89-C89*L89)</x:f>
        <x:v>0.06265662724465931</x:v>
      </x:c>
      <x:c r="N89" s="20" t="n">
        <x:f>IF(C89&lt;=1,1,IF(C89&lt;5,(5-C89)/4,0))</x:f>
        <x:v>0</x:v>
      </x:c>
      <x:c r="O89" s="20" t="n">
        <x:f>IF(C89&lt;=1,0,IF(C89&lt;5,(C89-1)/4,IF(C89&lt;10,(10-C89)/5,0)))</x:f>
        <x:v>0</x:v>
      </x:c>
      <x:c r="P89" s="20" t="n">
        <x:f>IF(C89&lt;=5,0,IF(C89&lt;10,(C89-5)/5,IF(C89&lt;20,(20-C89)/10,0)))</x:f>
        <x:v>0</x:v>
      </x:c>
      <x:c r="Q89" s="20" t="n">
        <x:f>IF(C89&lt;=10,0,IF(C89&lt;20,(C89-10)/10,IF(C89&lt;30,(30-C89)/10,0)))</x:f>
        <x:v>0</x:v>
      </x:c>
      <x:c r="R89" s="20" t="n">
        <x:f>IF(C89&lt;=20,0,IF(C89&lt;30,(C89-20)/10,1))</x:f>
        <x:v>1</x:v>
      </x:c>
    </x:row>
    <x:row r="90" ht="20" customHeight="1">
      <x:c r="A90" s="2"/>
      <x:c r="B90" s="2"/>
      <x:c r="C90" s="2" t="n">
        <x:v>84</x:v>
      </x:c>
      <x:c r="D90" s="46" t="n">
        <x:f>IF(C90=0,1,(1-EXP(-C90/'Sources'!$D$10))/(C90/'Sources'!$D$10))</x:f>
        <x:v>0.022197019986204523</x:v>
      </x:c>
      <x:c r="E90" s="46" t="n">
        <x:f>EXP(-C90/'Sources'!$D$10)</x:f>
        <x:v>2.719938821449841e-20</x:v>
      </x:c>
      <x:c r="F90" s="46" t="n">
        <x:f>IF(C90=0,1,(1-EXP(-C90/'Sources'!$D$11))/(C90/'Sources'!$D$11))</x:f>
        <x:v>0.18604667300640307</x:v>
      </x:c>
      <x:c r="G90" s="46" t="n">
        <x:f>EXP(-C90/'Sources'!$D$11)</x:f>
        <x:v>0.0047507144112946004</x:v>
      </x:c>
      <x:c r="H90" s="47" t="n">
        <x:f>('Sources'!$D$6+'Sources'!$D$7*D90+'Sources'!$D$8*(D90-E90)+'Sources'!$D$9*(F90-G90))/100</x:f>
        <x:v>0.03303028654748779</x:v>
      </x:c>
      <x:c r="I90" s="20" t="n">
        <x:f>-C90*H90</x:f>
        <x:v>-2.7745440699889743</x:v>
      </x:c>
      <x:c r="J90" s="20" t="n">
        <x:f>EXP(I90)</x:f>
        <x:v>0.06237791016861363</x:v>
      </x:c>
      <x:c r="K90" s="46" t="n">
        <x:f>IF(C90&lt;=30,I90,IF('Controls'!$F$14=1,I90,IF('Controls'!$F$14=2,$I$36+(C90-30)*($I$36-$I$35),-C90*$H$36)))</x:f>
        <x:v>-2.7745440699889743</x:v>
      </x:c>
      <x:c r="L90" s="48" t="n">
        <x:f>'Controls'!$F$8+N90*'Controls'!$F$9+O90*'Controls'!$F$10+P90*'Controls'!$F$11+Q90*'Controls'!$F$12+R90*'Controls'!$F$13</x:f>
        <x:v>0</x:v>
      </x:c>
      <x:c r="M90" s="20" t="n">
        <x:f>EXP(K90-C90*L90)</x:f>
        <x:v>0.06237791016861363</x:v>
      </x:c>
      <x:c r="N90" s="20" t="n">
        <x:f>IF(C90&lt;=1,1,IF(C90&lt;5,(5-C90)/4,0))</x:f>
        <x:v>0</x:v>
      </x:c>
      <x:c r="O90" s="20" t="n">
        <x:f>IF(C90&lt;=1,0,IF(C90&lt;5,(C90-1)/4,IF(C90&lt;10,(10-C90)/5,0)))</x:f>
        <x:v>0</x:v>
      </x:c>
      <x:c r="P90" s="20" t="n">
        <x:f>IF(C90&lt;=5,0,IF(C90&lt;10,(C90-5)/5,IF(C90&lt;20,(20-C90)/10,0)))</x:f>
        <x:v>0</x:v>
      </x:c>
      <x:c r="Q90" s="20" t="n">
        <x:f>IF(C90&lt;=10,0,IF(C90&lt;20,(C90-10)/10,IF(C90&lt;30,(30-C90)/10,0)))</x:f>
        <x:v>0</x:v>
      </x:c>
      <x:c r="R90" s="20" t="n">
        <x:f>IF(C90&lt;=20,0,IF(C90&lt;30,(C90-20)/10,1))</x:f>
        <x:v>1</x:v>
      </x:c>
    </x:row>
    <x:row r="91" ht="20" customHeight="1">
      <x:c r="A91" s="2"/>
      <x:c r="B91" s="2"/>
      <x:c r="C91" s="2" t="n">
        <x:v>85</x:v>
      </x:c>
      <x:c r="D91" s="46" t="n">
        <x:f>IF(C91=0,1,(1-EXP(-C91/'Sources'!$D$10))/(C91/'Sources'!$D$10))</x:f>
        <x:v>0.021935878574602115</x:v>
      </x:c>
      <x:c r="E91" s="46" t="n">
        <x:f>EXP(-C91/'Sources'!$D$10)</x:f>
        <x:v>1.5908792622509567e-20</x:v>
      </x:c>
      <x:c r="F91" s="46" t="n">
        <x:f>IF(C91=0,1,(1-EXP(-C91/'Sources'!$D$11))/(C91/'Sources'!$D$11))</x:f>
        <x:v>0.1839120368860131</x:v>
      </x:c>
      <x:c r="G91" s="46" t="n">
        <x:f>EXP(-C91/'Sources'!$D$11)</x:f>
        <x:v>0.004457602022324233</x:v>
      </x:c>
      <x:c r="H91" s="47" t="n">
        <x:f>('Sources'!$D$6+'Sources'!$D$7*D91+'Sources'!$D$8*(D91-E91)+'Sources'!$D$9*(F91-G91))/100</x:f>
        <x:v>0.03269149826200517</x:v>
      </x:c>
      <x:c r="I91" s="20" t="n">
        <x:f>-C91*H91</x:f>
        <x:v>-2.7787773522704393</x:v>
      </x:c>
      <x:c r="J91" s="20" t="n">
        <x:f>EXP(I91)</x:f>
        <x:v>0.06211440500612558</x:v>
      </x:c>
      <x:c r="K91" s="46" t="n">
        <x:f>IF(C91&lt;=30,I91,IF('Controls'!$F$14=1,I91,IF('Controls'!$F$14=2,$I$36+(C91-30)*($I$36-$I$35),-C91*$H$36)))</x:f>
        <x:v>-2.7787773522704393</x:v>
      </x:c>
      <x:c r="L91" s="48" t="n">
        <x:f>'Controls'!$F$8+N91*'Controls'!$F$9+O91*'Controls'!$F$10+P91*'Controls'!$F$11+Q91*'Controls'!$F$12+R91*'Controls'!$F$13</x:f>
        <x:v>0</x:v>
      </x:c>
      <x:c r="M91" s="20" t="n">
        <x:f>EXP(K91-C91*L91)</x:f>
        <x:v>0.06211440500612558</x:v>
      </x:c>
      <x:c r="N91" s="20" t="n">
        <x:f>IF(C91&lt;=1,1,IF(C91&lt;5,(5-C91)/4,0))</x:f>
        <x:v>0</x:v>
      </x:c>
      <x:c r="O91" s="20" t="n">
        <x:f>IF(C91&lt;=1,0,IF(C91&lt;5,(C91-1)/4,IF(C91&lt;10,(10-C91)/5,0)))</x:f>
        <x:v>0</x:v>
      </x:c>
      <x:c r="P91" s="20" t="n">
        <x:f>IF(C91&lt;=5,0,IF(C91&lt;10,(C91-5)/5,IF(C91&lt;20,(20-C91)/10,0)))</x:f>
        <x:v>0</x:v>
      </x:c>
      <x:c r="Q91" s="20" t="n">
        <x:f>IF(C91&lt;=10,0,IF(C91&lt;20,(C91-10)/10,IF(C91&lt;30,(30-C91)/10,0)))</x:f>
        <x:v>0</x:v>
      </x:c>
      <x:c r="R91" s="20" t="n">
        <x:f>IF(C91&lt;=20,0,IF(C91&lt;30,(C91-20)/10,1))</x:f>
        <x:v>1</x:v>
      </x:c>
    </x:row>
    <x:row r="92" ht="20" customHeight="1">
      <x:c r="A92" s="2"/>
      <x:c r="B92" s="2"/>
      <x:c r="C92" s="2" t="n">
        <x:v>86</x:v>
      </x:c>
      <x:c r="D92" s="46" t="n">
        <x:f>IF(C92=0,1,(1-EXP(-C92/'Sources'!$D$10))/(C92/'Sources'!$D$10))</x:f>
        <x:v>0.021680810219083486</x:v>
      </x:c>
      <x:c r="E92" s="46" t="n">
        <x:f>EXP(-C92/'Sources'!$D$10)</x:f>
        <x:v>9.304977035149176e-21</x:v>
      </x:c>
      <x:c r="F92" s="46" t="n">
        <x:f>IF(C92=0,1,(1-EXP(-C92/'Sources'!$D$11))/(C92/'Sources'!$D$11))</x:f>
        <x:v>0.18182374144156843</x:v>
      </x:c>
      <x:c r="G92" s="46" t="n">
        <x:f>EXP(-C92/'Sources'!$D$11)</x:f>
        <x:v>0.004182574254977014</x:v>
      </x:c>
      <x:c r="H92" s="47" t="n">
        <x:f>('Sources'!$D$6+'Sources'!$D$7*D92+'Sources'!$D$8*(D92-E92)+'Sources'!$D$9*(F92-G92))/100</x:f>
        <x:v>0.03235809833705933</x:v>
      </x:c>
      <x:c r="I92" s="20" t="n">
        <x:f>-C92*H92</x:f>
        <x:v>-2.782796456987102</x:v>
      </x:c>
      <x:c r="J92" s="20" t="n">
        <x:f>EXP(I92)</x:f>
        <x:v>0.06186526170986307</x:v>
      </x:c>
      <x:c r="K92" s="46" t="n">
        <x:f>IF(C92&lt;=30,I92,IF('Controls'!$F$14=1,I92,IF('Controls'!$F$14=2,$I$36+(C92-30)*($I$36-$I$35),-C92*$H$36)))</x:f>
        <x:v>-2.782796456987102</x:v>
      </x:c>
      <x:c r="L92" s="48" t="n">
        <x:f>'Controls'!$F$8+N92*'Controls'!$F$9+O92*'Controls'!$F$10+P92*'Controls'!$F$11+Q92*'Controls'!$F$12+R92*'Controls'!$F$13</x:f>
        <x:v>0</x:v>
      </x:c>
      <x:c r="M92" s="20" t="n">
        <x:f>EXP(K92-C92*L92)</x:f>
        <x:v>0.06186526170986307</x:v>
      </x:c>
      <x:c r="N92" s="20" t="n">
        <x:f>IF(C92&lt;=1,1,IF(C92&lt;5,(5-C92)/4,0))</x:f>
        <x:v>0</x:v>
      </x:c>
      <x:c r="O92" s="20" t="n">
        <x:f>IF(C92&lt;=1,0,IF(C92&lt;5,(C92-1)/4,IF(C92&lt;10,(10-C92)/5,0)))</x:f>
        <x:v>0</x:v>
      </x:c>
      <x:c r="P92" s="20" t="n">
        <x:f>IF(C92&lt;=5,0,IF(C92&lt;10,(C92-5)/5,IF(C92&lt;20,(20-C92)/10,0)))</x:f>
        <x:v>0</x:v>
      </x:c>
      <x:c r="Q92" s="20" t="n">
        <x:f>IF(C92&lt;=10,0,IF(C92&lt;20,(C92-10)/10,IF(C92&lt;30,(30-C92)/10,0)))</x:f>
        <x:v>0</x:v>
      </x:c>
      <x:c r="R92" s="20" t="n">
        <x:f>IF(C92&lt;=20,0,IF(C92&lt;30,(C92-20)/10,1))</x:f>
        <x:v>1</x:v>
      </x:c>
    </x:row>
    <x:row r="93" ht="20" customHeight="1">
      <x:c r="A93" s="2"/>
      <x:c r="B93" s="2"/>
      <x:c r="C93" s="2" t="n">
        <x:v>87</x:v>
      </x:c>
      <x:c r="D93" s="46" t="n">
        <x:f>IF(C93=0,1,(1-EXP(-C93/'Sources'!$D$10))/(C93/'Sources'!$D$10))</x:f>
        <x:v>0.02143160550392161</x:v>
      </x:c>
      <x:c r="E93" s="46" t="n">
        <x:f>EXP(-C93/'Sources'!$D$10)</x:f>
        <x:v>5.44243675048895e-21</x:v>
      </x:c>
      <x:c r="F93" s="46" t="n">
        <x:f>IF(C93=0,1,(1-EXP(-C93/'Sources'!$D$11))/(C93/'Sources'!$D$11))</x:f>
        <x:v>0.17978039010726238</x:v>
      </x:c>
      <x:c r="G93" s="46" t="n">
        <x:f>EXP(-C93/'Sources'!$D$11)</x:f>
        <x:v>0.003924515313566519</x:v>
      </x:c>
      <x:c r="H93" s="47" t="n">
        <x:f>('Sources'!$D$6+'Sources'!$D$7*D93+'Sources'!$D$8*(D93-E93)+'Sources'!$D$9*(F93-G93))/100</x:f>
        <x:v>0.03203001951888376</x:v>
      </x:c>
      <x:c r="I93" s="20" t="n">
        <x:f>-C93*H93</x:f>
        <x:v>-2.7866116981428872</x:v>
      </x:c>
      <x:c r="J93" s="20" t="n">
        <x:f>EXP(I93)</x:f>
        <x:v>0.06162968050259415</x:v>
      </x:c>
      <x:c r="K93" s="46" t="n">
        <x:f>IF(C93&lt;=30,I93,IF('Controls'!$F$14=1,I93,IF('Controls'!$F$14=2,$I$36+(C93-30)*($I$36-$I$35),-C93*$H$36)))</x:f>
        <x:v>-2.7866116981428872</x:v>
      </x:c>
      <x:c r="L93" s="48" t="n">
        <x:f>'Controls'!$F$8+N93*'Controls'!$F$9+O93*'Controls'!$F$10+P93*'Controls'!$F$11+Q93*'Controls'!$F$12+R93*'Controls'!$F$13</x:f>
        <x:v>0</x:v>
      </x:c>
      <x:c r="M93" s="20" t="n">
        <x:f>EXP(K93-C93*L93)</x:f>
        <x:v>0.06162968050259415</x:v>
      </x:c>
      <x:c r="N93" s="20" t="n">
        <x:f>IF(C93&lt;=1,1,IF(C93&lt;5,(5-C93)/4,0))</x:f>
        <x:v>0</x:v>
      </x:c>
      <x:c r="O93" s="20" t="n">
        <x:f>IF(C93&lt;=1,0,IF(C93&lt;5,(C93-1)/4,IF(C93&lt;10,(10-C93)/5,0)))</x:f>
        <x:v>0</x:v>
      </x:c>
      <x:c r="P93" s="20" t="n">
        <x:f>IF(C93&lt;=5,0,IF(C93&lt;10,(C93-5)/5,IF(C93&lt;20,(20-C93)/10,0)))</x:f>
        <x:v>0</x:v>
      </x:c>
      <x:c r="Q93" s="20" t="n">
        <x:f>IF(C93&lt;=10,0,IF(C93&lt;20,(C93-10)/10,IF(C93&lt;30,(30-C93)/10,0)))</x:f>
        <x:v>0</x:v>
      </x:c>
      <x:c r="R93" s="20" t="n">
        <x:f>IF(C93&lt;=20,0,IF(C93&lt;30,(C93-20)/10,1))</x:f>
        <x:v>1</x:v>
      </x:c>
    </x:row>
    <x:row r="94" ht="20" customHeight="1">
      <x:c r="A94" s="2"/>
      <x:c r="B94" s="2"/>
      <x:c r="C94" s="2" t="n">
        <x:v>88</x:v>
      </x:c>
      <x:c r="D94" s="46" t="n">
        <x:f>IF(C94=0,1,(1-EXP(-C94/'Sources'!$D$10))/(C94/'Sources'!$D$10))</x:f>
        <x:v>0.021188064532286135</x:v>
      </x:c>
      <x:c r="E94" s="46" t="n">
        <x:f>EXP(-C94/'Sources'!$D$10)</x:f>
        <x:v>3.183255334342462e-21</x:v>
      </x:c>
      <x:c r="F94" s="46" t="n">
        <x:f>IF(C94=0,1,(1-EXP(-C94/'Sources'!$D$11))/(C94/'Sources'!$D$11))</x:f>
        <x:v>0.17778063751336057</x:v>
      </x:c>
      <x:c r="G94" s="46" t="n">
        <x:f>EXP(-C94/'Sources'!$D$11)</x:f>
        <x:v>0.003682378245428845</x:v>
      </x:c>
      <x:c r="H94" s="47" t="n">
        <x:f>('Sources'!$D$6+'Sources'!$D$7*D94+'Sources'!$D$8*(D94-E94)+'Sources'!$D$9*(F94-G94))/100</x:f>
        <x:v>0.0317071924129079</x:v>
      </x:c>
      <x:c r="I94" s="20" t="n">
        <x:f>-C94*H94</x:f>
        <x:v>-2.790232932335895</x:v>
      </x:c>
      <x:c r="J94" s="20" t="n">
        <x:f>EXP(I94)</x:f>
        <x:v>0.06140690859431995</x:v>
      </x:c>
      <x:c r="K94" s="46" t="n">
        <x:f>IF(C94&lt;=30,I94,IF('Controls'!$F$14=1,I94,IF('Controls'!$F$14=2,$I$36+(C94-30)*($I$36-$I$35),-C94*$H$36)))</x:f>
        <x:v>-2.790232932335895</x:v>
      </x:c>
      <x:c r="L94" s="48" t="n">
        <x:f>'Controls'!$F$8+N94*'Controls'!$F$9+O94*'Controls'!$F$10+P94*'Controls'!$F$11+Q94*'Controls'!$F$12+R94*'Controls'!$F$13</x:f>
        <x:v>0</x:v>
      </x:c>
      <x:c r="M94" s="20" t="n">
        <x:f>EXP(K94-C94*L94)</x:f>
        <x:v>0.06140690859431995</x:v>
      </x:c>
      <x:c r="N94" s="20" t="n">
        <x:f>IF(C94&lt;=1,1,IF(C94&lt;5,(5-C94)/4,0))</x:f>
        <x:v>0</x:v>
      </x:c>
      <x:c r="O94" s="20" t="n">
        <x:f>IF(C94&lt;=1,0,IF(C94&lt;5,(C94-1)/4,IF(C94&lt;10,(10-C94)/5,0)))</x:f>
        <x:v>0</x:v>
      </x:c>
      <x:c r="P94" s="20" t="n">
        <x:f>IF(C94&lt;=5,0,IF(C94&lt;10,(C94-5)/5,IF(C94&lt;20,(20-C94)/10,0)))</x:f>
        <x:v>0</x:v>
      </x:c>
      <x:c r="Q94" s="20" t="n">
        <x:f>IF(C94&lt;=10,0,IF(C94&lt;20,(C94-10)/10,IF(C94&lt;30,(30-C94)/10,0)))</x:f>
        <x:v>0</x:v>
      </x:c>
      <x:c r="R94" s="20" t="n">
        <x:f>IF(C94&lt;=20,0,IF(C94&lt;30,(C94-20)/10,1))</x:f>
        <x:v>1</x:v>
      </x:c>
    </x:row>
    <x:row r="95" ht="20" customHeight="1">
      <x:c r="A95" s="2"/>
      <x:c r="B95" s="2"/>
      <x:c r="C95" s="2" t="n">
        <x:v>89</x:v>
      </x:c>
      <x:c r="D95" s="46" t="n">
        <x:f>IF(C95=0,1,(1-EXP(-C95/'Sources'!$D$10))/(C95/'Sources'!$D$10))</x:f>
        <x:v>0.02094999639147393</x:v>
      </x:c>
      <x:c r="E95" s="46" t="n">
        <x:f>EXP(-C95/'Sources'!$D$10)</x:f>
        <x:v>1.8618708839766262e-21</x:v>
      </x:c>
      <x:c r="F95" s="46" t="n">
        <x:f>IF(C95=0,1,(1-EXP(-C95/'Sources'!$D$11))/(C95/'Sources'!$D$11))</x:f>
        <x:v>0.17582318735941874</x:v>
      </x:c>
      <x:c r="G95" s="46" t="n">
        <x:f>EXP(-C95/'Sources'!$D$11)</x:f>
        <x:v>0.0034551806934050764</x:v>
      </x:c>
      <x:c r="H95" s="47" t="n">
        <x:f>('Sources'!$D$6+'Sources'!$D$7*D95+'Sources'!$D$8*(D95-E95)+'Sources'!$D$9*(F95-G95))/100</x:f>
        <x:v>0.03138954579706185</x:v>
      </x:c>
      <x:c r="I95" s="20" t="n">
        <x:f>-C95*H95</x:f>
        <x:v>-2.793669575938505</x:v>
      </x:c>
      <x:c r="J95" s="20" t="n">
        <x:f>EXP(I95)</x:f>
        <x:v>0.06119623714343511</x:v>
      </x:c>
      <x:c r="K95" s="46" t="n">
        <x:f>IF(C95&lt;=30,I95,IF('Controls'!$F$14=1,I95,IF('Controls'!$F$14=2,$I$36+(C95-30)*($I$36-$I$35),-C95*$H$36)))</x:f>
        <x:v>-2.793669575938505</x:v>
      </x:c>
      <x:c r="L95" s="48" t="n">
        <x:f>'Controls'!$F$8+N95*'Controls'!$F$9+O95*'Controls'!$F$10+P95*'Controls'!$F$11+Q95*'Controls'!$F$12+R95*'Controls'!$F$13</x:f>
        <x:v>0</x:v>
      </x:c>
      <x:c r="M95" s="20" t="n">
        <x:f>EXP(K95-C95*L95)</x:f>
        <x:v>0.06119623714343511</x:v>
      </x:c>
      <x:c r="N95" s="20" t="n">
        <x:f>IF(C95&lt;=1,1,IF(C95&lt;5,(5-C95)/4,0))</x:f>
        <x:v>0</x:v>
      </x:c>
      <x:c r="O95" s="20" t="n">
        <x:f>IF(C95&lt;=1,0,IF(C95&lt;5,(C95-1)/4,IF(C95&lt;10,(10-C95)/5,0)))</x:f>
        <x:v>0</x:v>
      </x:c>
      <x:c r="P95" s="20" t="n">
        <x:f>IF(C95&lt;=5,0,IF(C95&lt;10,(C95-5)/5,IF(C95&lt;20,(20-C95)/10,0)))</x:f>
        <x:v>0</x:v>
      </x:c>
      <x:c r="Q95" s="20" t="n">
        <x:f>IF(C95&lt;=10,0,IF(C95&lt;20,(C95-10)/10,IF(C95&lt;30,(30-C95)/10,0)))</x:f>
        <x:v>0</x:v>
      </x:c>
      <x:c r="R95" s="20" t="n">
        <x:f>IF(C95&lt;=20,0,IF(C95&lt;30,(C95-20)/10,1))</x:f>
        <x:v>1</x:v>
      </x:c>
    </x:row>
    <x:row r="96" ht="20" customHeight="1">
      <x:c r="A96" s="2"/>
      <x:c r="B96" s="2"/>
      <x:c r="C96" s="2" t="n">
        <x:v>90</x:v>
      </x:c>
      <x:c r="D96" s="46" t="n">
        <x:f>IF(C96=0,1,(1-EXP(-C96/'Sources'!$D$10))/(C96/'Sources'!$D$10))</x:f>
        <x:v>0.02071721865379089</x:v>
      </x:c>
      <x:c r="E96" s="46" t="n">
        <x:f>EXP(-C96/'Sources'!$D$10)</x:f>
        <x:v>1.0889994123942818e-21</x:v>
      </x:c>
      <x:c r="F96" s="46" t="n">
        <x:f>IF(C96=0,1,(1-EXP(-C96/'Sources'!$D$11))/(C96/'Sources'!$D$11))</x:f>
        <x:v>0.17390679038356244</x:v>
      </x:c>
      <x:c r="G96" s="46" t="n">
        <x:f>EXP(-C96/'Sources'!$D$11)</x:f>
        <x:v>0.003242000910389606</x:v>
      </x:c>
      <x:c r="H96" s="47" t="n">
        <x:f>('Sources'!$D$6+'Sources'!$D$7*D96+'Sources'!$D$8*(D96-E96)+'Sources'!$D$9*(F96-G96))/100</x:f>
        <x:v>0.031077006909985785</x:v>
      </x:c>
      <x:c r="I96" s="20" t="n">
        <x:f>-C96*H96</x:f>
        <x:v>-2.7969306218987207</x:v>
      </x:c>
      <x:c r="J96" s="20" t="n">
        <x:f>EXP(I96)</x:f>
        <x:v>0.060996998441366</x:v>
      </x:c>
      <x:c r="K96" s="46" t="n">
        <x:f>IF(C96&lt;=30,I96,IF('Controls'!$F$14=1,I96,IF('Controls'!$F$14=2,$I$36+(C96-30)*($I$36-$I$35),-C96*$H$36)))</x:f>
        <x:v>-2.7969306218987207</x:v>
      </x:c>
      <x:c r="L96" s="48" t="n">
        <x:f>'Controls'!$F$8+N96*'Controls'!$F$9+O96*'Controls'!$F$10+P96*'Controls'!$F$11+Q96*'Controls'!$F$12+R96*'Controls'!$F$13</x:f>
        <x:v>0</x:v>
      </x:c>
      <x:c r="M96" s="20" t="n">
        <x:f>EXP(K96-C96*L96)</x:f>
        <x:v>0.060996998441366</x:v>
      </x:c>
      <x:c r="N96" s="20" t="n">
        <x:f>IF(C96&lt;=1,1,IF(C96&lt;5,(5-C96)/4,0))</x:f>
        <x:v>0</x:v>
      </x:c>
      <x:c r="O96" s="20" t="n">
        <x:f>IF(C96&lt;=1,0,IF(C96&lt;5,(C96-1)/4,IF(C96&lt;10,(10-C96)/5,0)))</x:f>
        <x:v>0</x:v>
      </x:c>
      <x:c r="P96" s="20" t="n">
        <x:f>IF(C96&lt;=5,0,IF(C96&lt;10,(C96-5)/5,IF(C96&lt;20,(20-C96)/10,0)))</x:f>
        <x:v>0</x:v>
      </x:c>
      <x:c r="Q96" s="20" t="n">
        <x:f>IF(C96&lt;=10,0,IF(C96&lt;20,(C96-10)/10,IF(C96&lt;30,(30-C96)/10,0)))</x:f>
        <x:v>0</x:v>
      </x:c>
      <x:c r="R96" s="20" t="n">
        <x:f>IF(C96&lt;=20,0,IF(C96&lt;30,(C96-20)/10,1))</x:f>
        <x:v>1</x:v>
      </x:c>
    </x:row>
    <x:row r="97" ht="20" customHeight="1">
      <x:c r="A97" s="2"/>
      <x:c r="B97" s="2"/>
      <x:c r="C97" s="2" t="n">
        <x:v>91</x:v>
      </x:c>
      <x:c r="D97" s="46" t="n">
        <x:f>IF(C97=0,1,(1-EXP(-C97/'Sources'!$D$10))/(C97/'Sources'!$D$10))</x:f>
        <x:v>0.020489556910342637</x:v>
      </x:c>
      <x:c r="E97" s="46" t="n">
        <x:f>EXP(-C97/'Sources'!$D$10)</x:f>
        <x:v>6.369505696668807e-22</x:v>
      </x:c>
      <x:c r="F97" s="46" t="n">
        <x:f>IF(C97=0,1,(1-EXP(-C97/'Sources'!$D$11))/(C97/'Sources'!$D$11))</x:f>
        <x:v>0.17203024242322962</x:v>
      </x:c>
      <x:c r="G97" s="46" t="n">
        <x:f>EXP(-C97/'Sources'!$D$11)</x:f>
        <x:v>0.00304197401977518</x:v>
      </x:c>
      <x:c r="H97" s="47" t="n">
        <x:f>('Sources'!$D$6+'Sources'!$D$7*D97+'Sources'!$D$8*(D97-E97)+'Sources'!$D$9*(F97-G97))/100</x:f>
        <x:v>0.030769501715869077</x:v>
      </x:c>
      <x:c r="I97" s="20" t="n">
        <x:f>-C97*H97</x:f>
        <x:v>-2.800024656144086</x:v>
      </x:c>
      <x:c r="J97" s="20" t="n">
        <x:f>EXP(I97)</x:f>
        <x:v>0.06080856330203585</x:v>
      </x:c>
      <x:c r="K97" s="46" t="n">
        <x:f>IF(C97&lt;=30,I97,IF('Controls'!$F$14=1,I97,IF('Controls'!$F$14=2,$I$36+(C97-30)*($I$36-$I$35),-C97*$H$36)))</x:f>
        <x:v>-2.800024656144086</x:v>
      </x:c>
      <x:c r="L97" s="48" t="n">
        <x:f>'Controls'!$F$8+N97*'Controls'!$F$9+O97*'Controls'!$F$10+P97*'Controls'!$F$11+Q97*'Controls'!$F$12+R97*'Controls'!$F$13</x:f>
        <x:v>0</x:v>
      </x:c>
      <x:c r="M97" s="20" t="n">
        <x:f>EXP(K97-C97*L97)</x:f>
        <x:v>0.06080856330203585</x:v>
      </x:c>
      <x:c r="N97" s="20" t="n">
        <x:f>IF(C97&lt;=1,1,IF(C97&lt;5,(5-C97)/4,0))</x:f>
        <x:v>0</x:v>
      </x:c>
      <x:c r="O97" s="20" t="n">
        <x:f>IF(C97&lt;=1,0,IF(C97&lt;5,(C97-1)/4,IF(C97&lt;10,(10-C97)/5,0)))</x:f>
        <x:v>0</x:v>
      </x:c>
      <x:c r="P97" s="20" t="n">
        <x:f>IF(C97&lt;=5,0,IF(C97&lt;10,(C97-5)/5,IF(C97&lt;20,(20-C97)/10,0)))</x:f>
        <x:v>0</x:v>
      </x:c>
      <x:c r="Q97" s="20" t="n">
        <x:f>IF(C97&lt;=10,0,IF(C97&lt;20,(C97-10)/10,IF(C97&lt;30,(30-C97)/10,0)))</x:f>
        <x:v>0</x:v>
      </x:c>
      <x:c r="R97" s="20" t="n">
        <x:f>IF(C97&lt;=20,0,IF(C97&lt;30,(C97-20)/10,1))</x:f>
        <x:v>1</x:v>
      </x:c>
    </x:row>
    <x:row r="98" ht="20" customHeight="1">
      <x:c r="A98" s="2"/>
      <x:c r="B98" s="2"/>
      <x:c r="C98" s="2" t="n">
        <x:v>92</x:v>
      </x:c>
      <x:c r="D98" s="46" t="n">
        <x:f>IF(C98=0,1,(1-EXP(-C98/'Sources'!$D$10))/(C98/'Sources'!$D$10))</x:f>
        <x:v>0.020266844335230218</x:v>
      </x:c>
      <x:c r="E98" s="46" t="n">
        <x:f>EXP(-C98/'Sources'!$D$10)</x:f>
        <x:v>3.7254935455564273e-22</x:v>
      </x:c>
      <x:c r="F98" s="46" t="n">
        <x:f>IF(C98=0,1,(1-EXP(-C98/'Sources'!$D$11))/(C98/'Sources'!$D$11))</x:f>
        <x:v>0.1701923825630065</x:v>
      </x:c>
      <x:c r="G98" s="46" t="n">
        <x:f>EXP(-C98/'Sources'!$D$11)</x:f>
        <x:v>0.0028542885066232477</x:v>
      </x:c>
      <x:c r="H98" s="47" t="n">
        <x:f>('Sources'!$D$6+'Sources'!$D$7*D98+'Sources'!$D$8*(D98-E98)+'Sources'!$D$9*(F98-G98))/100</x:f>
        <x:v>0.030466955147535425</x:v>
      </x:c>
      <x:c r="I98" s="20" t="n">
        <x:f>-C98*H98</x:f>
        <x:v>-2.802959873573259</x:v>
      </x:c>
      <x:c r="J98" s="20" t="n">
        <x:f>EXP(I98)</x:f>
        <x:v>0.06063033863921492</x:v>
      </x:c>
      <x:c r="K98" s="46" t="n">
        <x:f>IF(C98&lt;=30,I98,IF('Controls'!$F$14=1,I98,IF('Controls'!$F$14=2,$I$36+(C98-30)*($I$36-$I$35),-C98*$H$36)))</x:f>
        <x:v>-2.802959873573259</x:v>
      </x:c>
      <x:c r="L98" s="48" t="n">
        <x:f>'Controls'!$F$8+N98*'Controls'!$F$9+O98*'Controls'!$F$10+P98*'Controls'!$F$11+Q98*'Controls'!$F$12+R98*'Controls'!$F$13</x:f>
        <x:v>0</x:v>
      </x:c>
      <x:c r="M98" s="20" t="n">
        <x:f>EXP(K98-C98*L98)</x:f>
        <x:v>0.06063033863921492</x:v>
      </x:c>
      <x:c r="N98" s="20" t="n">
        <x:f>IF(C98&lt;=1,1,IF(C98&lt;5,(5-C98)/4,0))</x:f>
        <x:v>0</x:v>
      </x:c>
      <x:c r="O98" s="20" t="n">
        <x:f>IF(C98&lt;=1,0,IF(C98&lt;5,(C98-1)/4,IF(C98&lt;10,(10-C98)/5,0)))</x:f>
        <x:v>0</x:v>
      </x:c>
      <x:c r="P98" s="20" t="n">
        <x:f>IF(C98&lt;=5,0,IF(C98&lt;10,(C98-5)/5,IF(C98&lt;20,(20-C98)/10,0)))</x:f>
        <x:v>0</x:v>
      </x:c>
      <x:c r="Q98" s="20" t="n">
        <x:f>IF(C98&lt;=10,0,IF(C98&lt;20,(C98-10)/10,IF(C98&lt;30,(30-C98)/10,0)))</x:f>
        <x:v>0</x:v>
      </x:c>
      <x:c r="R98" s="20" t="n">
        <x:f>IF(C98&lt;=20,0,IF(C98&lt;30,(C98-20)/10,1))</x:f>
        <x:v>1</x:v>
      </x:c>
    </x:row>
    <x:row r="99" ht="20" customHeight="1">
      <x:c r="A99" s="2"/>
      <x:c r="B99" s="2"/>
      <x:c r="C99" s="2" t="n">
        <x:v>93</x:v>
      </x:c>
      <x:c r="D99" s="46" t="n">
        <x:f>IF(C99=0,1,(1-EXP(-C99/'Sources'!$D$10))/(C99/'Sources'!$D$10))</x:f>
        <x:v>0.02004892127786215</x:v>
      </x:c>
      <x:c r="E99" s="46" t="n">
        <x:f>EXP(-C99/'Sources'!$D$10)</x:f>
        <x:v>2.1790234311653646e-22</x:v>
      </x:c>
      <x:c r="F99" s="46" t="n">
        <x:f>IF(C99=0,1,(1-EXP(-C99/'Sources'!$D$11))/(C99/'Sources'!$D$11))</x:f>
        <x:v>0.16839209136540512</x:v>
      </x:c>
      <x:c r="G99" s="46" t="n">
        <x:f>EXP(-C99/'Sources'!$D$11)</x:f>
        <x:v>0.0026781829253241574</x:v>
      </x:c>
      <x:c r="H99" s="47" t="n">
        <x:f>('Sources'!$D$6+'Sources'!$D$7*D99+'Sources'!$D$8*(D99-E99)+'Sources'!$D$9*(F99-G99))/100</x:f>
        <x:v>0.03016929132928703</x:v>
      </x:c>
      <x:c r="I99" s="20" t="n">
        <x:f>-C99*H99</x:f>
        <x:v>-2.8057440936236935</x:v>
      </x:c>
      <x:c r="J99" s="20" t="n">
        <x:f>EXP(I99)</x:f>
        <x:v>0.06046176521635969</x:v>
      </x:c>
      <x:c r="K99" s="46" t="n">
        <x:f>IF(C99&lt;=30,I99,IF('Controls'!$F$14=1,I99,IF('Controls'!$F$14=2,$I$36+(C99-30)*($I$36-$I$35),-C99*$H$36)))</x:f>
        <x:v>-2.8057440936236935</x:v>
      </x:c>
      <x:c r="L99" s="48" t="n">
        <x:f>'Controls'!$F$8+N99*'Controls'!$F$9+O99*'Controls'!$F$10+P99*'Controls'!$F$11+Q99*'Controls'!$F$12+R99*'Controls'!$F$13</x:f>
        <x:v>0</x:v>
      </x:c>
      <x:c r="M99" s="20" t="n">
        <x:f>EXP(K99-C99*L99)</x:f>
        <x:v>0.06046176521635969</x:v>
      </x:c>
      <x:c r="N99" s="20" t="n">
        <x:f>IF(C99&lt;=1,1,IF(C99&lt;5,(5-C99)/4,0))</x:f>
        <x:v>0</x:v>
      </x:c>
      <x:c r="O99" s="20" t="n">
        <x:f>IF(C99&lt;=1,0,IF(C99&lt;5,(C99-1)/4,IF(C99&lt;10,(10-C99)/5,0)))</x:f>
        <x:v>0</x:v>
      </x:c>
      <x:c r="P99" s="20" t="n">
        <x:f>IF(C99&lt;=5,0,IF(C99&lt;10,(C99-5)/5,IF(C99&lt;20,(20-C99)/10,0)))</x:f>
        <x:v>0</x:v>
      </x:c>
      <x:c r="Q99" s="20" t="n">
        <x:f>IF(C99&lt;=10,0,IF(C99&lt;20,(C99-10)/10,IF(C99&lt;30,(30-C99)/10,0)))</x:f>
        <x:v>0</x:v>
      </x:c>
      <x:c r="R99" s="20" t="n">
        <x:f>IF(C99&lt;=20,0,IF(C99&lt;30,(C99-20)/10,1))</x:f>
        <x:v>1</x:v>
      </x:c>
    </x:row>
    <x:row r="100" ht="20" customHeight="1">
      <x:c r="A100" s="2"/>
      <x:c r="B100" s="2"/>
      <x:c r="C100" s="2" t="n">
        <x:v>94</x:v>
      </x:c>
      <x:c r="D100" s="46" t="n">
        <x:f>IF(C100=0,1,(1-EXP(-C100/'Sources'!$D$10))/(C100/'Sources'!$D$10))</x:f>
        <x:v>0.01983563488128915</x:v>
      </x:c>
      <x:c r="E100" s="46" t="n">
        <x:f>EXP(-C100/'Sources'!$D$10)</x:f>
        <x:v>1.2745004267235984e-22</x:v>
      </x:c>
      <x:c r="F100" s="46" t="n">
        <x:f>IF(C100=0,1,(1-EXP(-C100/'Sources'!$D$11))/(C100/'Sources'!$D$11))</x:f>
        <x:v>0.1666282891806363</x:v>
      </x:c>
      <x:c r="G100" s="46" t="n">
        <x:f>EXP(-C100/'Sources'!$D$11)</x:f>
        <x:v>0.002512942810390056</x:v>
      </x:c>
      <x:c r="H100" s="47" t="n">
        <x:f>('Sources'!$D$6+'Sources'!$D$7*D100+'Sources'!$D$8*(D100-E100)+'Sources'!$D$9*(F100-G100))/100</x:f>
        <x:v>0.029876433780923754</x:v>
      </x:c>
      <x:c r="I100" s="20" t="n">
        <x:f>-C100*H100</x:f>
        <x:v>-2.8083847754068327</x:v>
      </x:c>
      <x:c r="J100" s="20" t="n">
        <x:f>EXP(I100)</x:f>
        <x:v>0.060302315554940714</x:v>
      </x:c>
      <x:c r="K100" s="46" t="n">
        <x:f>IF(C100&lt;=30,I100,IF('Controls'!$F$14=1,I100,IF('Controls'!$F$14=2,$I$36+(C100-30)*($I$36-$I$35),-C100*$H$36)))</x:f>
        <x:v>-2.8083847754068327</x:v>
      </x:c>
      <x:c r="L100" s="48" t="n">
        <x:f>'Controls'!$F$8+N100*'Controls'!$F$9+O100*'Controls'!$F$10+P100*'Controls'!$F$11+Q100*'Controls'!$F$12+R100*'Controls'!$F$13</x:f>
        <x:v>0</x:v>
      </x:c>
      <x:c r="M100" s="20" t="n">
        <x:f>EXP(K100-C100*L100)</x:f>
        <x:v>0.060302315554940714</x:v>
      </x:c>
      <x:c r="N100" s="20" t="n">
        <x:f>IF(C100&lt;=1,1,IF(C100&lt;5,(5-C100)/4,0))</x:f>
        <x:v>0</x:v>
      </x:c>
      <x:c r="O100" s="20" t="n">
        <x:f>IF(C100&lt;=1,0,IF(C100&lt;5,(C100-1)/4,IF(C100&lt;10,(10-C100)/5,0)))</x:f>
        <x:v>0</x:v>
      </x:c>
      <x:c r="P100" s="20" t="n">
        <x:f>IF(C100&lt;=5,0,IF(C100&lt;10,(C100-5)/5,IF(C100&lt;20,(20-C100)/10,0)))</x:f>
        <x:v>0</x:v>
      </x:c>
      <x:c r="Q100" s="20" t="n">
        <x:f>IF(C100&lt;=10,0,IF(C100&lt;20,(C100-10)/10,IF(C100&lt;30,(30-C100)/10,0)))</x:f>
        <x:v>0</x:v>
      </x:c>
      <x:c r="R100" s="20" t="n">
        <x:f>IF(C100&lt;=20,0,IF(C100&lt;30,(C100-20)/10,1))</x:f>
        <x:v>1</x:v>
      </x:c>
    </x:row>
    <x:row r="101" ht="20" customHeight="1">
      <x:c r="A101" s="2"/>
      <x:c r="B101" s="2"/>
      <x:c r="C101" s="2" t="n">
        <x:v>95</x:v>
      </x:c>
      <x:c r="D101" s="46" t="n">
        <x:f>IF(C101=0,1,(1-EXP(-C101/'Sources'!$D$10))/(C101/'Sources'!$D$10))</x:f>
        <x:v>0.019626838724643998</x:v>
      </x:c>
      <x:c r="E101" s="46" t="n">
        <x:f>EXP(-C101/'Sources'!$D$10)</x:f>
        <x:v>7.45449229451334e-23</x:v>
      </x:c>
      <x:c r="F101" s="46" t="n">
        <x:f>IF(C101=0,1,(1-EXP(-C101/'Sources'!$D$11))/(C101/'Sources'!$D$11))</x:f>
        <x:v>0.16489993453163052</x:v>
      </x:c>
      <x:c r="G101" s="46" t="n">
        <x:f>EXP(-C101/'Sources'!$D$11)</x:f>
        <x:v>0.0023578977778475453</x:v>
      </x:c>
      <x:c r="H101" s="47" t="n">
        <x:f>('Sources'!$D$6+'Sources'!$D$7*D101+'Sources'!$D$8*(D101-E101)+'Sources'!$D$9*(F101-G101))/100</x:f>
        <x:v>0.02958830560426261</x:v>
      </x:c>
      <x:c r="I101" s="20" t="n">
        <x:f>-C101*H101</x:f>
        <x:v>-2.810889032404948</x:v>
      </x:c>
      <x:c r="J101" s="20" t="n">
        <x:f>EXP(I101)</x:f>
        <x:v>0.06015149198851723</x:v>
      </x:c>
      <x:c r="K101" s="46" t="n">
        <x:f>IF(C101&lt;=30,I101,IF('Controls'!$F$14=1,I101,IF('Controls'!$F$14=2,$I$36+(C101-30)*($I$36-$I$35),-C101*$H$36)))</x:f>
        <x:v>-2.810889032404948</x:v>
      </x:c>
      <x:c r="L101" s="48" t="n">
        <x:f>'Controls'!$F$8+N101*'Controls'!$F$9+O101*'Controls'!$F$10+P101*'Controls'!$F$11+Q101*'Controls'!$F$12+R101*'Controls'!$F$13</x:f>
        <x:v>0</x:v>
      </x:c>
      <x:c r="M101" s="20" t="n">
        <x:f>EXP(K101-C101*L101)</x:f>
        <x:v>0.06015149198851723</x:v>
      </x:c>
      <x:c r="N101" s="20" t="n">
        <x:f>IF(C101&lt;=1,1,IF(C101&lt;5,(5-C101)/4,0))</x:f>
        <x:v>0</x:v>
      </x:c>
      <x:c r="O101" s="20" t="n">
        <x:f>IF(C101&lt;=1,0,IF(C101&lt;5,(C101-1)/4,IF(C101&lt;10,(10-C101)/5,0)))</x:f>
        <x:v>0</x:v>
      </x:c>
      <x:c r="P101" s="20" t="n">
        <x:f>IF(C101&lt;=5,0,IF(C101&lt;10,(C101-5)/5,IF(C101&lt;20,(20-C101)/10,0)))</x:f>
        <x:v>0</x:v>
      </x:c>
      <x:c r="Q101" s="20" t="n">
        <x:f>IF(C101&lt;=10,0,IF(C101&lt;20,(C101-10)/10,IF(C101&lt;30,(30-C101)/10,0)))</x:f>
        <x:v>0</x:v>
      </x:c>
      <x:c r="R101" s="20" t="n">
        <x:f>IF(C101&lt;=20,0,IF(C101&lt;30,(C101-20)/10,1))</x:f>
        <x:v>1</x:v>
      </x:c>
    </x:row>
    <x:row r="102" ht="20" customHeight="1">
      <x:c r="A102" s="2"/>
      <x:c r="B102" s="2"/>
      <x:c r="C102" s="2" t="n">
        <x:v>96</x:v>
      </x:c>
      <x:c r="D102" s="46" t="n">
        <x:f>IF(C102=0,1,(1-EXP(-C102/'Sources'!$D$10))/(C102/'Sources'!$D$10))</x:f>
        <x:v>0.019422392487928958</x:v>
      </x:c>
      <x:c r="E102" s="46" t="n">
        <x:f>EXP(-C102/'Sources'!$D$10)</x:f>
        <x:v>4.360097039105231e-23</x:v>
      </x:c>
      <x:c r="F102" s="46" t="n">
        <x:f>IF(C102=0,1,(1-EXP(-C102/'Sources'!$D$11))/(C102/'Sources'!$D$11))</x:f>
        <x:v>0.16320602257074185</x:v>
      </x:c>
      <x:c r="G102" s="46" t="n">
        <x:f>EXP(-C102/'Sources'!$D$11)</x:f>
        <x:v>0.0022124188054703196</x:v>
      </x:c>
      <x:c r="H102" s="47" t="n">
        <x:f>('Sources'!$D$6+'Sources'!$D$7*D102+'Sources'!$D$8*(D102-E102)+'Sources'!$D$9*(F102-G102))/100</x:f>
        <x:v>0.029304829653396716</x:v>
      </x:c>
      <x:c r="I102" s="20" t="n">
        <x:f>-C102*H102</x:f>
        <x:v>-2.8132636467260848</x:v>
      </x:c>
      <x:c r="J102" s="20" t="n">
        <x:f>EXP(I102)</x:f>
        <x:v>0.06000882485095675</x:v>
      </x:c>
      <x:c r="K102" s="46" t="n">
        <x:f>IF(C102&lt;=30,I102,IF('Controls'!$F$14=1,I102,IF('Controls'!$F$14=2,$I$36+(C102-30)*($I$36-$I$35),-C102*$H$36)))</x:f>
        <x:v>-2.8132636467260848</x:v>
      </x:c>
      <x:c r="L102" s="48" t="n">
        <x:f>'Controls'!$F$8+N102*'Controls'!$F$9+O102*'Controls'!$F$10+P102*'Controls'!$F$11+Q102*'Controls'!$F$12+R102*'Controls'!$F$13</x:f>
        <x:v>0</x:v>
      </x:c>
      <x:c r="M102" s="20" t="n">
        <x:f>EXP(K102-C102*L102)</x:f>
        <x:v>0.06000882485095675</x:v>
      </x:c>
      <x:c r="N102" s="20" t="n">
        <x:f>IF(C102&lt;=1,1,IF(C102&lt;5,(5-C102)/4,0))</x:f>
        <x:v>0</x:v>
      </x:c>
      <x:c r="O102" s="20" t="n">
        <x:f>IF(C102&lt;=1,0,IF(C102&lt;5,(C102-1)/4,IF(C102&lt;10,(10-C102)/5,0)))</x:f>
        <x:v>0</x:v>
      </x:c>
      <x:c r="P102" s="20" t="n">
        <x:f>IF(C102&lt;=5,0,IF(C102&lt;10,(C102-5)/5,IF(C102&lt;20,(20-C102)/10,0)))</x:f>
        <x:v>0</x:v>
      </x:c>
      <x:c r="Q102" s="20" t="n">
        <x:f>IF(C102&lt;=10,0,IF(C102&lt;20,(C102-10)/10,IF(C102&lt;30,(30-C102)/10,0)))</x:f>
        <x:v>0</x:v>
      </x:c>
      <x:c r="R102" s="20" t="n">
        <x:f>IF(C102&lt;=20,0,IF(C102&lt;30,(C102-20)/10,1))</x:f>
        <x:v>1</x:v>
      </x:c>
    </x:row>
    <x:row r="103" ht="20" customHeight="1">
      <x:c r="A103" s="2"/>
      <x:c r="B103" s="2"/>
      <x:c r="C103" s="2" t="n">
        <x:v>97</x:v>
      </x:c>
      <x:c r="D103" s="46" t="n">
        <x:f>IF(C103=0,1,(1-EXP(-C103/'Sources'!$D$10))/(C103/'Sources'!$D$10))</x:f>
        <x:v>0.019222161637537937</x:v>
      </x:c>
      <x:c r="E103" s="46" t="n">
        <x:f>EXP(-C103/'Sources'!$D$10)</x:f>
        <x:v>2.550199992078104e-23</x:v>
      </x:c>
      <x:c r="F103" s="46" t="n">
        <x:f>IF(C103=0,1,(1-EXP(-C103/'Sources'!$D$11))/(C103/'Sources'!$D$11))</x:f>
        <x:v>0.1615455836047491</x:v>
      </x:c>
      <x:c r="G103" s="46" t="n">
        <x:f>EXP(-C103/'Sources'!$D$11)</x:f>
        <x:v>0.00207591568081761</x:v>
      </x:c>
      <x:c r="H103" s="47" t="n">
        <x:f>('Sources'!$D$6+'Sources'!$D$7*D103+'Sources'!$D$8*(D103-E103)+'Sources'!$D$9*(F103-G103))/100</x:f>
        <x:v>0.029025928689852595</x:v>
      </x:c>
      <x:c r="I103" s="20" t="n">
        <x:f>-C103*H103</x:f>
        <x:v>-2.815515082915702</x:v>
      </x:c>
      <x:c r="J103" s="20" t="n">
        <x:f>EXP(I103)</x:f>
        <x:v>0.05987387078822774</x:v>
      </x:c>
      <x:c r="K103" s="46" t="n">
        <x:f>IF(C103&lt;=30,I103,IF('Controls'!$F$14=1,I103,IF('Controls'!$F$14=2,$I$36+(C103-30)*($I$36-$I$35),-C103*$H$36)))</x:f>
        <x:v>-2.815515082915702</x:v>
      </x:c>
      <x:c r="L103" s="48" t="n">
        <x:f>'Controls'!$F$8+N103*'Controls'!$F$9+O103*'Controls'!$F$10+P103*'Controls'!$F$11+Q103*'Controls'!$F$12+R103*'Controls'!$F$13</x:f>
        <x:v>0</x:v>
      </x:c>
      <x:c r="M103" s="20" t="n">
        <x:f>EXP(K103-C103*L103)</x:f>
        <x:v>0.05987387078822774</x:v>
      </x:c>
      <x:c r="N103" s="20" t="n">
        <x:f>IF(C103&lt;=1,1,IF(C103&lt;5,(5-C103)/4,0))</x:f>
        <x:v>0</x:v>
      </x:c>
      <x:c r="O103" s="20" t="n">
        <x:f>IF(C103&lt;=1,0,IF(C103&lt;5,(C103-1)/4,IF(C103&lt;10,(10-C103)/5,0)))</x:f>
        <x:v>0</x:v>
      </x:c>
      <x:c r="P103" s="20" t="n">
        <x:f>IF(C103&lt;=5,0,IF(C103&lt;10,(C103-5)/5,IF(C103&lt;20,(20-C103)/10,0)))</x:f>
        <x:v>0</x:v>
      </x:c>
      <x:c r="Q103" s="20" t="n">
        <x:f>IF(C103&lt;=10,0,IF(C103&lt;20,(C103-10)/10,IF(C103&lt;30,(30-C103)/10,0)))</x:f>
        <x:v>0</x:v>
      </x:c>
      <x:c r="R103" s="20" t="n">
        <x:f>IF(C103&lt;=20,0,IF(C103&lt;30,(C103-20)/10,1))</x:f>
        <x:v>1</x:v>
      </x:c>
    </x:row>
    <x:row r="104" ht="20" customHeight="1">
      <x:c r="A104" s="2"/>
      <x:c r="B104" s="2"/>
      <x:c r="C104" s="2" t="n">
        <x:v>98</x:v>
      </x:c>
      <x:c r="D104" s="46" t="n">
        <x:f>IF(C104=0,1,(1-EXP(-C104/'Sources'!$D$10))/(C104/'Sources'!$D$10))</x:f>
        <x:v>0.019026017131032448</x:v>
      </x:c>
      <x:c r="E104" s="46" t="n">
        <x:f>EXP(-C104/'Sources'!$D$10)</x:f>
        <x:v>1.491599829376687e-23</x:v>
      </x:c>
      <x:c r="F104" s="46" t="n">
        <x:f>IF(C104=0,1,(1-EXP(-C104/'Sources'!$D$11))/(C104/'Sources'!$D$11))</x:f>
        <x:v>0.1599176816849344</x:v>
      </x:c>
      <x:c r="G104" s="46" t="n">
        <x:f>EXP(-C104/'Sources'!$D$11)</x:f>
        <x:v>0.0019478346067250737</x:v>
      </x:c>
      <x:c r="H104" s="47" t="n">
        <x:f>('Sources'!$D$6+'Sources'!$D$7*D104+'Sources'!$D$8*(D104-E104)+'Sources'!$D$9*(F104-G104))/100</x:f>
        <x:v>0.028751525523728914</x:v>
      </x:c>
      <x:c r="I104" s="20" t="n">
        <x:f>-C104*H104</x:f>
        <x:v>-2.8176495013254335</x:v>
      </x:c>
      <x:c r="J104" s="20" t="n">
        <x:f>EXP(I104)</x:f>
        <x:v>0.059746211184125396</x:v>
      </x:c>
      <x:c r="K104" s="46" t="n">
        <x:f>IF(C104&lt;=30,I104,IF('Controls'!$F$14=1,I104,IF('Controls'!$F$14=2,$I$36+(C104-30)*($I$36-$I$35),-C104*$H$36)))</x:f>
        <x:v>-2.8176495013254335</x:v>
      </x:c>
      <x:c r="L104" s="48" t="n">
        <x:f>'Controls'!$F$8+N104*'Controls'!$F$9+O104*'Controls'!$F$10+P104*'Controls'!$F$11+Q104*'Controls'!$F$12+R104*'Controls'!$F$13</x:f>
        <x:v>0</x:v>
      </x:c>
      <x:c r="M104" s="20" t="n">
        <x:f>EXP(K104-C104*L104)</x:f>
        <x:v>0.059746211184125396</x:v>
      </x:c>
      <x:c r="N104" s="20" t="n">
        <x:f>IF(C104&lt;=1,1,IF(C104&lt;5,(5-C104)/4,0))</x:f>
        <x:v>0</x:v>
      </x:c>
      <x:c r="O104" s="20" t="n">
        <x:f>IF(C104&lt;=1,0,IF(C104&lt;5,(C104-1)/4,IF(C104&lt;10,(10-C104)/5,0)))</x:f>
        <x:v>0</x:v>
      </x:c>
      <x:c r="P104" s="20" t="n">
        <x:f>IF(C104&lt;=5,0,IF(C104&lt;10,(C104-5)/5,IF(C104&lt;20,(20-C104)/10,0)))</x:f>
        <x:v>0</x:v>
      </x:c>
      <x:c r="Q104" s="20" t="n">
        <x:f>IF(C104&lt;=10,0,IF(C104&lt;20,(C104-10)/10,IF(C104&lt;30,(30-C104)/10,0)))</x:f>
        <x:v>0</x:v>
      </x:c>
      <x:c r="R104" s="20" t="n">
        <x:f>IF(C104&lt;=20,0,IF(C104&lt;30,(C104-20)/10,1))</x:f>
        <x:v>1</x:v>
      </x:c>
    </x:row>
    <x:row r="105" ht="20" customHeight="1">
      <x:c r="A105" s="2"/>
      <x:c r="B105" s="2"/>
      <x:c r="C105" s="2" t="n">
        <x:v>99</x:v>
      </x:c>
      <x:c r="D105" s="46" t="n">
        <x:f>IF(C105=0,1,(1-EXP(-C105/'Sources'!$D$10))/(C105/'Sources'!$D$10))</x:f>
        <x:v>0.018833835139809896</x:v>
      </x:c>
      <x:c r="E105" s="46" t="n">
        <x:f>EXP(-C105/'Sources'!$D$10)</x:f>
        <x:v>8.724296360708409e-24</x:v>
      </x:c>
      <x:c r="F105" s="46" t="n">
        <x:f>IF(C105=0,1,(1-EXP(-C105/'Sources'!$D$11))/(C105/'Sources'!$D$11))</x:f>
        <x:v>0.1583214132591787</x:v>
      </x:c>
      <x:c r="G105" s="46" t="n">
        <x:f>EXP(-C105/'Sources'!$D$11)</x:f>
        <x:v>0.0018276559545335272</x:v>
      </x:c>
      <x:c r="H105" s="47" t="n">
        <x:f>('Sources'!$D$6+'Sources'!$D$7*D105+'Sources'!$D$8*(D105-E105)+'Sources'!$D$9*(F105-G105))/100</x:f>
        <x:v>0.028481543141828977</x:v>
      </x:c>
      <x:c r="I105" s="20" t="n">
        <x:f>-C105*H105</x:f>
        <x:v>-2.819672771041069</x:v>
      </x:c>
      <x:c r="J105" s="20" t="n">
        <x:f>EXP(I105)</x:f>
        <x:v>0.059625450691132384</x:v>
      </x:c>
      <x:c r="K105" s="46" t="n">
        <x:f>IF(C105&lt;=30,I105,IF('Controls'!$F$14=1,I105,IF('Controls'!$F$14=2,$I$36+(C105-30)*($I$36-$I$35),-C105*$H$36)))</x:f>
        <x:v>-2.819672771041069</x:v>
      </x:c>
      <x:c r="L105" s="48" t="n">
        <x:f>'Controls'!$F$8+N105*'Controls'!$F$9+O105*'Controls'!$F$10+P105*'Controls'!$F$11+Q105*'Controls'!$F$12+R105*'Controls'!$F$13</x:f>
        <x:v>0</x:v>
      </x:c>
      <x:c r="M105" s="20" t="n">
        <x:f>EXP(K105-C105*L105)</x:f>
        <x:v>0.059625450691132384</x:v>
      </x:c>
      <x:c r="N105" s="20" t="n">
        <x:f>IF(C105&lt;=1,1,IF(C105&lt;5,(5-C105)/4,0))</x:f>
        <x:v>0</x:v>
      </x:c>
      <x:c r="O105" s="20" t="n">
        <x:f>IF(C105&lt;=1,0,IF(C105&lt;5,(C105-1)/4,IF(C105&lt;10,(10-C105)/5,0)))</x:f>
        <x:v>0</x:v>
      </x:c>
      <x:c r="P105" s="20" t="n">
        <x:f>IF(C105&lt;=5,0,IF(C105&lt;10,(C105-5)/5,IF(C105&lt;20,(20-C105)/10,0)))</x:f>
        <x:v>0</x:v>
      </x:c>
      <x:c r="Q105" s="20" t="n">
        <x:f>IF(C105&lt;=10,0,IF(C105&lt;20,(C105-10)/10,IF(C105&lt;30,(30-C105)/10,0)))</x:f>
        <x:v>0</x:v>
      </x:c>
      <x:c r="R105" s="20" t="n">
        <x:f>IF(C105&lt;=20,0,IF(C105&lt;30,(C105-20)/10,1))</x:f>
        <x:v>1</x:v>
      </x:c>
    </x:row>
    <x:row r="106" ht="20" customHeight="1">
      <x:c r="A106" s="2"/>
      <x:c r="B106" s="2"/>
      <x:c r="C106" s="2" t="n">
        <x:v>100</x:v>
      </x:c>
      <x:c r="D106" s="46" t="n">
        <x:f>IF(C106=0,1,(1-EXP(-C106/'Sources'!$D$10))/(C106/'Sources'!$D$10))</x:f>
        <x:v>0.0186454967884118</x:v>
      </x:c>
      <x:c r="E106" s="46" t="n">
        <x:f>EXP(-C106/'Sources'!$D$10)</x:f>
        <x:v>5.102799389651071e-24</x:v>
      </x:c>
      <x:c r="F106" s="46" t="n">
        <x:f>IF(C106=0,1,(1-EXP(-C106/'Sources'!$D$11))/(C106/'Sources'!$D$11))</x:f>
        <x:v>0.15675590588316418</x:v>
      </x:c>
      <x:c r="G106" s="46" t="n">
        <x:f>EXP(-C106/'Sources'!$D$11)</x:f>
        <x:v>0.0017148921559402832</x:v>
      </x:c>
      <x:c r="H106" s="47" t="n">
        <x:f>('Sources'!$D$6+'Sources'!$D$7*D106+'Sources'!$D$8*(D106-E106)+'Sources'!$D$9*(F106-G106))/100</x:f>
        <x:v>0.028215904823732183</x:v>
      </x:c>
      <x:c r="I106" s="20" t="n">
        <x:f>-C106*H106</x:f>
        <x:v>-2.8215904823732183</x:v>
      </x:c>
      <x:c r="J106" s="20" t="n">
        <x:f>EXP(I106)</x:f>
        <x:v>0.059511215858383454</x:v>
      </x:c>
      <x:c r="K106" s="46" t="n">
        <x:f>IF(C106&lt;=30,I106,IF('Controls'!$F$14=1,I106,IF('Controls'!$F$14=2,$I$36+(C106-30)*($I$36-$I$35),-C106*$H$36)))</x:f>
        <x:v>-2.8215904823732183</x:v>
      </x:c>
      <x:c r="L106" s="48" t="n">
        <x:f>'Controls'!$F$8+N106*'Controls'!$F$9+O106*'Controls'!$F$10+P106*'Controls'!$F$11+Q106*'Controls'!$F$12+R106*'Controls'!$F$13</x:f>
        <x:v>0</x:v>
      </x:c>
      <x:c r="M106" s="20" t="n">
        <x:f>EXP(K106-C106*L106)</x:f>
        <x:v>0.059511215858383454</x:v>
      </x:c>
      <x:c r="N106" s="20" t="n">
        <x:f>IF(C106&lt;=1,1,IF(C106&lt;5,(5-C106)/4,0))</x:f>
        <x:v>0</x:v>
      </x:c>
      <x:c r="O106" s="20" t="n">
        <x:f>IF(C106&lt;=1,0,IF(C106&lt;5,(C106-1)/4,IF(C106&lt;10,(10-C106)/5,0)))</x:f>
        <x:v>0</x:v>
      </x:c>
      <x:c r="P106" s="20" t="n">
        <x:f>IF(C106&lt;=5,0,IF(C106&lt;10,(C106-5)/5,IF(C106&lt;20,(20-C106)/10,0)))</x:f>
        <x:v>0</x:v>
      </x:c>
      <x:c r="Q106" s="20" t="n">
        <x:f>IF(C106&lt;=10,0,IF(C106&lt;20,(C106-10)/10,IF(C106&lt;30,(30-C106)/10,0)))</x:f>
        <x:v>0</x:v>
      </x:c>
      <x:c r="R106" s="20" t="n">
        <x:f>IF(C106&lt;=20,0,IF(C106&lt;30,(C106-20)/10,1))</x:f>
        <x:v>1</x:v>
      </x:c>
    </x:row>
    <x:row r="107" ht="20" customHeight="1">
      <x:c r="A107" s="2"/>
      <x:c r="B107" s="2"/>
      <x:c r="C107" s="2" t="n">
        <x:v>101</x:v>
      </x:c>
      <x:c r="D107" s="46" t="n">
        <x:f>IF(C107=0,1,(1-EXP(-C107/'Sources'!$D$10))/(C107/'Sources'!$D$10))</x:f>
        <x:v>0.018460887909318612</x:v>
      </x:c>
      <x:c r="E107" s="46" t="n">
        <x:f>EXP(-C107/'Sources'!$D$10)</x:f>
        <x:v>2.984603059599527e-24</x:v>
      </x:c>
      <x:c r="F107" s="46" t="n">
        <x:f>IF(C107=0,1,(1-EXP(-C107/'Sources'!$D$11))/(C107/'Sources'!$D$11))</x:f>
        <x:v>0.15522031698791705</x:v>
      </x:c>
      <x:c r="G107" s="46" t="n">
        <x:f>EXP(-C107/'Sources'!$D$11)</x:f>
        <x:v>0.0016090857249203172</x:v>
      </x:c>
      <x:c r="H107" s="47" t="n">
        <x:f>('Sources'!$D$6+'Sources'!$D$7*D107+'Sources'!$D$8*(D107-E107)+'Sources'!$D$9*(F107-G107))/100</x:f>
        <x:v>0.027954534246687607</x:v>
      </x:c>
      <x:c r="I107" s="20" t="n">
        <x:f>-C107*H107</x:f>
        <x:v>-2.8234079589154484</x:v>
      </x:c>
      <x:c r="J107" s="20" t="n">
        <x:f>EXP(I107)</x:f>
        <x:v>0.05940315384939054</x:v>
      </x:c>
      <x:c r="K107" s="46" t="n">
        <x:f>IF(C107&lt;=30,I107,IF('Controls'!$F$14=1,I107,IF('Controls'!$F$14=2,$I$36+(C107-30)*($I$36-$I$35),-C107*$H$36)))</x:f>
        <x:v>-2.8234079589154484</x:v>
      </x:c>
      <x:c r="L107" s="48" t="n">
        <x:f>'Controls'!$F$8+N107*'Controls'!$F$9+O107*'Controls'!$F$10+P107*'Controls'!$F$11+Q107*'Controls'!$F$12+R107*'Controls'!$F$13</x:f>
        <x:v>0</x:v>
      </x:c>
      <x:c r="M107" s="20" t="n">
        <x:f>EXP(K107-C107*L107)</x:f>
        <x:v>0.05940315384939054</x:v>
      </x:c>
      <x:c r="N107" s="20" t="n">
        <x:f>IF(C107&lt;=1,1,IF(C107&lt;5,(5-C107)/4,0))</x:f>
        <x:v>0</x:v>
      </x:c>
      <x:c r="O107" s="20" t="n">
        <x:f>IF(C107&lt;=1,0,IF(C107&lt;5,(C107-1)/4,IF(C107&lt;10,(10-C107)/5,0)))</x:f>
        <x:v>0</x:v>
      </x:c>
      <x:c r="P107" s="20" t="n">
        <x:f>IF(C107&lt;=5,0,IF(C107&lt;10,(C107-5)/5,IF(C107&lt;20,(20-C107)/10,0)))</x:f>
        <x:v>0</x:v>
      </x:c>
      <x:c r="Q107" s="20" t="n">
        <x:f>IF(C107&lt;=10,0,IF(C107&lt;20,(C107-10)/10,IF(C107&lt;30,(30-C107)/10,0)))</x:f>
        <x:v>0</x:v>
      </x:c>
      <x:c r="R107" s="20" t="n">
        <x:f>IF(C107&lt;=20,0,IF(C107&lt;30,(C107-20)/10,1))</x:f>
        <x:v>1</x:v>
      </x:c>
    </x:row>
    <x:row r="108" ht="20" customHeight="1">
      <x:c r="A108" s="2"/>
      <x:c r="B108" s="2"/>
      <x:c r="C108" s="2" t="n">
        <x:v>102</x:v>
      </x:c>
      <x:c r="D108" s="46" t="n">
        <x:f>IF(C108=0,1,(1-EXP(-C108/'Sources'!$D$10))/(C108/'Sources'!$D$10))</x:f>
        <x:v>0.018279898812168432</x:v>
      </x:c>
      <x:c r="E108" s="46" t="n">
        <x:f>EXP(-C108/'Sources'!$D$10)</x:f>
        <x:v>1.745680114612536e-24</x:v>
      </x:c>
      <x:c r="F108" s="46" t="n">
        <x:f>IF(C108=0,1,(1-EXP(-C108/'Sources'!$D$11))/(C108/'Sources'!$D$11))</x:f>
        <x:v>0.1537138327010594</x:v>
      </x:c>
      <x:c r="G108" s="46" t="n">
        <x:f>EXP(-C108/'Sources'!$D$11)</x:f>
        <x:v>0.0015098074016920886</x:v>
      </x:c>
      <x:c r="H108" s="47" t="n">
        <x:f>('Sources'!$D$6+'Sources'!$D$7*D108+'Sources'!$D$8*(D108-E108)+'Sources'!$D$9*(F108-G108))/100</x:f>
        <x:v>0.027697355580153765</x:v>
      </x:c>
      <x:c r="I108" s="20" t="n">
        <x:f>-C108*H108</x:f>
        <x:v>-2.825130269175684</x:v>
      </x:c>
      <x:c r="J108" s="20" t="n">
        <x:f>EXP(I108)</x:f>
        <x:v>0.059300931242816456</x:v>
      </x:c>
      <x:c r="K108" s="46" t="n">
        <x:f>IF(C108&lt;=30,I108,IF('Controls'!$F$14=1,I108,IF('Controls'!$F$14=2,$I$36+(C108-30)*($I$36-$I$35),-C108*$H$36)))</x:f>
        <x:v>-2.825130269175684</x:v>
      </x:c>
      <x:c r="L108" s="48" t="n">
        <x:f>'Controls'!$F$8+N108*'Controls'!$F$9+O108*'Controls'!$F$10+P108*'Controls'!$F$11+Q108*'Controls'!$F$12+R108*'Controls'!$F$13</x:f>
        <x:v>0</x:v>
      </x:c>
      <x:c r="M108" s="20" t="n">
        <x:f>EXP(K108-C108*L108)</x:f>
        <x:v>0.059300931242816456</x:v>
      </x:c>
      <x:c r="N108" s="20" t="n">
        <x:f>IF(C108&lt;=1,1,IF(C108&lt;5,(5-C108)/4,0))</x:f>
        <x:v>0</x:v>
      </x:c>
      <x:c r="O108" s="20" t="n">
        <x:f>IF(C108&lt;=1,0,IF(C108&lt;5,(C108-1)/4,IF(C108&lt;10,(10-C108)/5,0)))</x:f>
        <x:v>0</x:v>
      </x:c>
      <x:c r="P108" s="20" t="n">
        <x:f>IF(C108&lt;=5,0,IF(C108&lt;10,(C108-5)/5,IF(C108&lt;20,(20-C108)/10,0)))</x:f>
        <x:v>0</x:v>
      </x:c>
      <x:c r="Q108" s="20" t="n">
        <x:f>IF(C108&lt;=10,0,IF(C108&lt;20,(C108-10)/10,IF(C108&lt;30,(30-C108)/10,0)))</x:f>
        <x:v>0</x:v>
      </x:c>
      <x:c r="R108" s="20" t="n">
        <x:f>IF(C108&lt;=20,0,IF(C108&lt;30,(C108-20)/10,1))</x:f>
        <x:v>1</x:v>
      </x:c>
    </x:row>
    <x:row r="109" ht="20" customHeight="1">
      <x:c r="A109" s="2"/>
      <x:c r="B109" s="2"/>
      <x:c r="C109" s="2" t="n">
        <x:v>103</x:v>
      </x:c>
      <x:c r="D109" s="46" t="n">
        <x:f>IF(C109=0,1,(1-EXP(-C109/'Sources'!$D$10))/(C109/'Sources'!$D$10))</x:f>
        <x:v>0.018102424066419223</x:v>
      </x:c>
      <x:c r="E109" s="46" t="n">
        <x:f>EXP(-C109/'Sources'!$D$10)</x:f>
        <x:v>1.0210399847819412e-24</x:v>
      </x:c>
      <x:c r="F109" s="46" t="n">
        <x:f>IF(C109=0,1,(1-EXP(-C109/'Sources'!$D$11))/(C109/'Sources'!$D$11))</x:f>
        <x:v>0.15223566671926794</x:v>
      </x:c>
      <x:c r="G109" s="46" t="n">
        <x:f>EXP(-C109/'Sources'!$D$11)</x:f>
        <x:v>0.0014166544111980715</x:v>
      </x:c>
      <x:c r="H109" s="47" t="n">
        <x:f>('Sources'!$D$6+'Sources'!$D$7*D109+'Sources'!$D$8*(D109-E109)+'Sources'!$D$9*(F109-G109))/100</x:f>
        <x:v>0.02744429357075383</x:v>
      </x:c>
      <x:c r="I109" s="20" t="n">
        <x:f>-C109*H109</x:f>
        <x:v>-2.8267622377876447</x:v>
      </x:c>
      <x:c r="J109" s="20" t="n">
        <x:f>EXP(I109)</x:f>
        <x:v>0.05920423291015158</x:v>
      </x:c>
      <x:c r="K109" s="46" t="n">
        <x:f>IF(C109&lt;=30,I109,IF('Controls'!$F$14=1,I109,IF('Controls'!$F$14=2,$I$36+(C109-30)*($I$36-$I$35),-C109*$H$36)))</x:f>
        <x:v>-2.8267622377876447</x:v>
      </x:c>
      <x:c r="L109" s="48" t="n">
        <x:f>'Controls'!$F$8+N109*'Controls'!$F$9+O109*'Controls'!$F$10+P109*'Controls'!$F$11+Q109*'Controls'!$F$12+R109*'Controls'!$F$13</x:f>
        <x:v>0</x:v>
      </x:c>
      <x:c r="M109" s="20" t="n">
        <x:f>EXP(K109-C109*L109)</x:f>
        <x:v>0.05920423291015158</x:v>
      </x:c>
      <x:c r="N109" s="20" t="n">
        <x:f>IF(C109&lt;=1,1,IF(C109&lt;5,(5-C109)/4,0))</x:f>
        <x:v>0</x:v>
      </x:c>
      <x:c r="O109" s="20" t="n">
        <x:f>IF(C109&lt;=1,0,IF(C109&lt;5,(C109-1)/4,IF(C109&lt;10,(10-C109)/5,0)))</x:f>
        <x:v>0</x:v>
      </x:c>
      <x:c r="P109" s="20" t="n">
        <x:f>IF(C109&lt;=5,0,IF(C109&lt;10,(C109-5)/5,IF(C109&lt;20,(20-C109)/10,0)))</x:f>
        <x:v>0</x:v>
      </x:c>
      <x:c r="Q109" s="20" t="n">
        <x:f>IF(C109&lt;=10,0,IF(C109&lt;20,(C109-10)/10,IF(C109&lt;30,(30-C109)/10,0)))</x:f>
        <x:v>0</x:v>
      </x:c>
      <x:c r="R109" s="20" t="n">
        <x:f>IF(C109&lt;=20,0,IF(C109&lt;30,(C109-20)/10,1))</x:f>
        <x:v>1</x:v>
      </x:c>
    </x:row>
    <x:row r="110" ht="20" customHeight="1">
      <x:c r="A110" s="2"/>
      <x:c r="B110" s="2"/>
      <x:c r="C110" s="2" t="n">
        <x:v>104</x:v>
      </x:c>
      <x:c r="D110" s="46" t="n">
        <x:f>IF(C110=0,1,(1-EXP(-C110/'Sources'!$D$10))/(C110/'Sources'!$D$10))</x:f>
        <x:v>0.01792836229654981</x:v>
      </x:c>
      <x:c r="E110" s="46" t="n">
        <x:f>EXP(-C110/'Sources'!$D$10)</x:f>
        <x:v>5.972014241308471e-25</x:v>
      </x:c>
      <x:c r="F110" s="46" t="n">
        <x:f>IF(C110=0,1,(1-EXP(-C110/'Sources'!$D$11))/(C110/'Sources'!$D$11))</x:f>
        <x:v>0.15078505922956031</x:v>
      </x:c>
      <x:c r="G110" s="46" t="n">
        <x:f>EXP(-C110/'Sources'!$D$11)</x:f>
        <x:v>0.0013292488290345837</x:v>
      </x:c>
      <x:c r="H110" s="47" t="n">
        <x:f>('Sources'!$D$6+'Sources'!$D$7*D110+'Sources'!$D$8*(D110-E110)+'Sources'!$D$9*(F110-G110))/100</x:f>
        <x:v>0.02719527361836416</x:v>
      </x:c>
      <x:c r="I110" s="20" t="n">
        <x:f>-C110*H110</x:f>
        <x:v>-2.828308456309873</x:v>
      </x:c>
      <x:c r="J110" s="20" t="n">
        <x:f>EXP(I110)</x:f>
        <x:v>0.05911276096466398</x:v>
      </x:c>
      <x:c r="K110" s="46" t="n">
        <x:f>IF(C110&lt;=30,I110,IF('Controls'!$F$14=1,I110,IF('Controls'!$F$14=2,$I$36+(C110-30)*($I$36-$I$35),-C110*$H$36)))</x:f>
        <x:v>-2.828308456309873</x:v>
      </x:c>
      <x:c r="L110" s="48" t="n">
        <x:f>'Controls'!$F$8+N110*'Controls'!$F$9+O110*'Controls'!$F$10+P110*'Controls'!$F$11+Q110*'Controls'!$F$12+R110*'Controls'!$F$13</x:f>
        <x:v>0</x:v>
      </x:c>
      <x:c r="M110" s="20" t="n">
        <x:f>EXP(K110-C110*L110)</x:f>
        <x:v>0.05911276096466398</x:v>
      </x:c>
      <x:c r="N110" s="20" t="n">
        <x:f>IF(C110&lt;=1,1,IF(C110&lt;5,(5-C110)/4,0))</x:f>
        <x:v>0</x:v>
      </x:c>
      <x:c r="O110" s="20" t="n">
        <x:f>IF(C110&lt;=1,0,IF(C110&lt;5,(C110-1)/4,IF(C110&lt;10,(10-C110)/5,0)))</x:f>
        <x:v>0</x:v>
      </x:c>
      <x:c r="P110" s="20" t="n">
        <x:f>IF(C110&lt;=5,0,IF(C110&lt;10,(C110-5)/5,IF(C110&lt;20,(20-C110)/10,0)))</x:f>
        <x:v>0</x:v>
      </x:c>
      <x:c r="Q110" s="20" t="n">
        <x:f>IF(C110&lt;=10,0,IF(C110&lt;20,(C110-10)/10,IF(C110&lt;30,(30-C110)/10,0)))</x:f>
        <x:v>0</x:v>
      </x:c>
      <x:c r="R110" s="20" t="n">
        <x:f>IF(C110&lt;=20,0,IF(C110&lt;30,(C110-20)/10,1))</x:f>
        <x:v>1</x:v>
      </x:c>
    </x:row>
    <x:row r="111" ht="20" customHeight="1">
      <x:c r="A111" s="2"/>
      <x:c r="B111" s="2"/>
      <x:c r="C111" s="2" t="n">
        <x:v>105</x:v>
      </x:c>
      <x:c r="D111" s="46" t="n">
        <x:f>IF(C111=0,1,(1-EXP(-C111/'Sources'!$D$10))/(C111/'Sources'!$D$10))</x:f>
        <x:v>0.01775761598896362</x:v>
      </x:c>
      <x:c r="E111" s="46" t="n">
        <x:f>EXP(-C111/'Sources'!$D$10)</x:f>
        <x:v>3.493002686472459e-25</x:v>
      </x:c>
      <x:c r="F111" s="46" t="n">
        <x:f>IF(C111=0,1,(1-EXP(-C111/'Sources'!$D$11))/(C111/'Sources'!$D$11))</x:f>
        <x:v>0.14936127587714412</x:v>
      </x:c>
      <x:c r="G111" s="46" t="n">
        <x:f>EXP(-C111/'Sources'!$D$11)</x:f>
        <x:v>0.001247236048201434</x:v>
      </x:c>
      <x:c r="H111" s="47" t="n">
        <x:f>('Sources'!$D$6+'Sources'!$D$7*D111+'Sources'!$D$8*(D111-E111)+'Sources'!$D$9*(F111-G111))/100</x:f>
        <x:v>0.02695022184400508</x:v>
      </x:c>
      <x:c r="I111" s="20" t="n">
        <x:f>-C111*H111</x:f>
        <x:v>-2.8297732936205335</x:v>
      </x:c>
      <x:c r="J111" s="20" t="n">
        <x:f>EXP(I111)</x:f>
        <x:v>0.05902623377646573</x:v>
      </x:c>
      <x:c r="K111" s="46" t="n">
        <x:f>IF(C111&lt;=30,I111,IF('Controls'!$F$14=1,I111,IF('Controls'!$F$14=2,$I$36+(C111-30)*($I$36-$I$35),-C111*$H$36)))</x:f>
        <x:v>-2.8297732936205335</x:v>
      </x:c>
      <x:c r="L111" s="48" t="n">
        <x:f>'Controls'!$F$8+N111*'Controls'!$F$9+O111*'Controls'!$F$10+P111*'Controls'!$F$11+Q111*'Controls'!$F$12+R111*'Controls'!$F$13</x:f>
        <x:v>0</x:v>
      </x:c>
      <x:c r="M111" s="20" t="n">
        <x:f>EXP(K111-C111*L111)</x:f>
        <x:v>0.05902623377646573</x:v>
      </x:c>
      <x:c r="N111" s="20" t="n">
        <x:f>IF(C111&lt;=1,1,IF(C111&lt;5,(5-C111)/4,0))</x:f>
        <x:v>0</x:v>
      </x:c>
      <x:c r="O111" s="20" t="n">
        <x:f>IF(C111&lt;=1,0,IF(C111&lt;5,(C111-1)/4,IF(C111&lt;10,(10-C111)/5,0)))</x:f>
        <x:v>0</x:v>
      </x:c>
      <x:c r="P111" s="20" t="n">
        <x:f>IF(C111&lt;=5,0,IF(C111&lt;10,(C111-5)/5,IF(C111&lt;20,(20-C111)/10,0)))</x:f>
        <x:v>0</x:v>
      </x:c>
      <x:c r="Q111" s="20" t="n">
        <x:f>IF(C111&lt;=10,0,IF(C111&lt;20,(C111-10)/10,IF(C111&lt;30,(30-C111)/10,0)))</x:f>
        <x:v>0</x:v>
      </x:c>
      <x:c r="R111" s="20" t="n">
        <x:f>IF(C111&lt;=20,0,IF(C111&lt;30,(C111-20)/10,1))</x:f>
        <x:v>1</x:v>
      </x:c>
    </x:row>
    <x:row r="112" ht="20" customHeight="1">
      <x:c r="A112" s="2"/>
      <x:c r="B112" s="2"/>
      <x:c r="C112" s="2" t="n">
        <x:v>106</x:v>
      </x:c>
      <x:c r="D112" s="46" t="n">
        <x:f>IF(C112=0,1,(1-EXP(-C112/'Sources'!$D$10))/(C112/'Sources'!$D$10))</x:f>
        <x:v>0.017590091309822455</x:v>
      </x:c>
      <x:c r="E112" s="46" t="n">
        <x:f>EXP(-C112/'Sources'!$D$10)</x:f>
        <x:v>2.0430406349852498e-25</x:v>
      </x:c>
      <x:c r="F112" s="46" t="n">
        <x:f>IF(C112=0,1,(1-EXP(-C112/'Sources'!$D$11))/(C112/'Sources'!$D$11))</x:f>
        <x:v>0.14796360677767653</x:v>
      </x:c>
      <x:c r="G112" s="46" t="n">
        <x:f>EXP(-C112/'Sources'!$D$11)</x:f>
        <x:v>0.0011702833404509665</x:v>
      </x:c>
      <x:c r="H112" s="47" t="n">
        <x:f>('Sources'!$D$6+'Sources'!$D$7*D112+'Sources'!$D$8*(D112-E112)+'Sources'!$D$9*(F112-G112))/100</x:f>
        <x:v>0.02670906515015838</x:v>
      </x:c>
      <x:c r="I112" s="20" t="n">
        <x:f>-C112*H112</x:f>
        <x:v>-2.8311609059167884</x:v>
      </x:c>
      <x:c r="J112" s="20" t="n">
        <x:f>EXP(I112)</x:f>
        <x:v>0.058944385048959345</x:v>
      </x:c>
      <x:c r="K112" s="46" t="n">
        <x:f>IF(C112&lt;=30,I112,IF('Controls'!$F$14=1,I112,IF('Controls'!$F$14=2,$I$36+(C112-30)*($I$36-$I$35),-C112*$H$36)))</x:f>
        <x:v>-2.8311609059167884</x:v>
      </x:c>
      <x:c r="L112" s="48" t="n">
        <x:f>'Controls'!$F$8+N112*'Controls'!$F$9+O112*'Controls'!$F$10+P112*'Controls'!$F$11+Q112*'Controls'!$F$12+R112*'Controls'!$F$13</x:f>
        <x:v>0</x:v>
      </x:c>
      <x:c r="M112" s="20" t="n">
        <x:f>EXP(K112-C112*L112)</x:f>
        <x:v>0.058944385048959345</x:v>
      </x:c>
      <x:c r="N112" s="20" t="n">
        <x:f>IF(C112&lt;=1,1,IF(C112&lt;5,(5-C112)/4,0))</x:f>
        <x:v>0</x:v>
      </x:c>
      <x:c r="O112" s="20" t="n">
        <x:f>IF(C112&lt;=1,0,IF(C112&lt;5,(C112-1)/4,IF(C112&lt;10,(10-C112)/5,0)))</x:f>
        <x:v>0</x:v>
      </x:c>
      <x:c r="P112" s="20" t="n">
        <x:f>IF(C112&lt;=5,0,IF(C112&lt;10,(C112-5)/5,IF(C112&lt;20,(20-C112)/10,0)))</x:f>
        <x:v>0</x:v>
      </x:c>
      <x:c r="Q112" s="20" t="n">
        <x:f>IF(C112&lt;=10,0,IF(C112&lt;20,(C112-10)/10,IF(C112&lt;30,(30-C112)/10,0)))</x:f>
        <x:v>0</x:v>
      </x:c>
      <x:c r="R112" s="20" t="n">
        <x:f>IF(C112&lt;=20,0,IF(C112&lt;30,(C112-20)/10,1))</x:f>
        <x:v>1</x:v>
      </x:c>
    </x:row>
    <x:row r="113" ht="20" customHeight="1">
      <x:c r="A113" s="2"/>
      <x:c r="B113" s="2"/>
      <x:c r="C113" s="2" t="n">
        <x:v>107</x:v>
      </x:c>
      <x:c r="D113" s="46" t="n">
        <x:f>IF(C113=0,1,(1-EXP(-C113/'Sources'!$D$10))/(C113/'Sources'!$D$10))</x:f>
        <x:v>0.01742569793309514</x:v>
      </x:c>
      <x:c r="E113" s="46" t="n">
        <x:f>EXP(-C113/'Sources'!$D$10)</x:f>
        <x:v>1.1949647368912332e-25</x:v>
      </x:c>
      <x:c r="F113" s="46" t="n">
        <x:f>IF(C113=0,1,(1-EXP(-C113/'Sources'!$D$11))/(C113/'Sources'!$D$11))</x:f>
        <x:v>0.14659136557188485</x:v>
      </x:c>
      <x:c r="G113" s="46" t="n">
        <x:f>EXP(-C113/'Sources'!$D$11)</x:f>
        <x:v>0.0010980785063998437</x:v>
      </x:c>
      <x:c r="H113" s="47" t="n">
        <x:f>('Sources'!$D$6+'Sources'!$D$7*D113+'Sources'!$D$8*(D113-E113)+'Sources'!$D$9*(F113-G113))/100</x:f>
        <x:v>0.02647173127409306</x:v>
      </x:c>
      <x:c r="I113" s="20" t="n">
        <x:f>-C113*H113</x:f>
        <x:v>-2.832475246327957</x:v>
      </x:c>
      <x:c r="J113" s="20" t="n">
        <x:f>EXP(I113)</x:f>
        <x:v>0.05886696295231866</x:v>
      </x:c>
      <x:c r="K113" s="46" t="n">
        <x:f>IF(C113&lt;=30,I113,IF('Controls'!$F$14=1,I113,IF('Controls'!$F$14=2,$I$36+(C113-30)*($I$36-$I$35),-C113*$H$36)))</x:f>
        <x:v>-2.832475246327957</x:v>
      </x:c>
      <x:c r="L113" s="48" t="n">
        <x:f>'Controls'!$F$8+N113*'Controls'!$F$9+O113*'Controls'!$F$10+P113*'Controls'!$F$11+Q113*'Controls'!$F$12+R113*'Controls'!$F$13</x:f>
        <x:v>0</x:v>
      </x:c>
      <x:c r="M113" s="20" t="n">
        <x:f>EXP(K113-C113*L113)</x:f>
        <x:v>0.05886696295231866</x:v>
      </x:c>
      <x:c r="N113" s="20" t="n">
        <x:f>IF(C113&lt;=1,1,IF(C113&lt;5,(5-C113)/4,0))</x:f>
        <x:v>0</x:v>
      </x:c>
      <x:c r="O113" s="20" t="n">
        <x:f>IF(C113&lt;=1,0,IF(C113&lt;5,(C113-1)/4,IF(C113&lt;10,(10-C113)/5,0)))</x:f>
        <x:v>0</x:v>
      </x:c>
      <x:c r="P113" s="20" t="n">
        <x:f>IF(C113&lt;=5,0,IF(C113&lt;10,(C113-5)/5,IF(C113&lt;20,(20-C113)/10,0)))</x:f>
        <x:v>0</x:v>
      </x:c>
      <x:c r="Q113" s="20" t="n">
        <x:f>IF(C113&lt;=10,0,IF(C113&lt;20,(C113-10)/10,IF(C113&lt;30,(30-C113)/10,0)))</x:f>
        <x:v>0</x:v>
      </x:c>
      <x:c r="R113" s="20" t="n">
        <x:f>IF(C113&lt;=20,0,IF(C113&lt;30,(C113-20)/10,1))</x:f>
        <x:v>1</x:v>
      </x:c>
    </x:row>
    <x:row r="114" ht="20" customHeight="1">
      <x:c r="A114" s="2"/>
      <x:c r="B114" s="2"/>
      <x:c r="C114" s="2" t="n">
        <x:v>108</x:v>
      </x:c>
      <x:c r="D114" s="46" t="n">
        <x:f>IF(C114=0,1,(1-EXP(-C114/'Sources'!$D$10))/(C114/'Sources'!$D$10))</x:f>
        <x:v>0.017264348878159072</x:v>
      </x:c>
      <x:c r="E114" s="46" t="n">
        <x:f>EXP(-C114/'Sources'!$D$10)</x:f>
        <x:v>6.989291832777637e-26</x:v>
      </x:c>
      <x:c r="F114" s="46" t="n">
        <x:f>IF(C114=0,1,(1-EXP(-C114/'Sources'!$D$11))/(C114/'Sources'!$D$11))</x:f>
        <x:v>0.1452438885205986</x:v>
      </x:c>
      <x:c r="G114" s="46" t="n">
        <x:f>EXP(-C114/'Sources'!$D$11)</x:f>
        <x:v>0.001030328608927021</x:v>
      </x:c>
      <x:c r="H114" s="47" t="n">
        <x:f>('Sources'!$D$6+'Sources'!$D$7*D114+'Sources'!$D$8*(D114-E114)+'Sources'!$D$9*(F114-G114))/100</x:f>
        <x:v>0.02623814883474118</x:v>
      </x:c>
      <x:c r="I114" s="20" t="n">
        <x:f>-C114*H114</x:f>
        <x:v>-2.833720074152047</x:v>
      </x:c>
      <x:c r="J114" s="20" t="n">
        <x:f>EXP(I114)</x:f>
        <x:v>0.05879372931001063</x:v>
      </x:c>
      <x:c r="K114" s="46" t="n">
        <x:f>IF(C114&lt;=30,I114,IF('Controls'!$F$14=1,I114,IF('Controls'!$F$14=2,$I$36+(C114-30)*($I$36-$I$35),-C114*$H$36)))</x:f>
        <x:v>-2.833720074152047</x:v>
      </x:c>
      <x:c r="L114" s="48" t="n">
        <x:f>'Controls'!$F$8+N114*'Controls'!$F$9+O114*'Controls'!$F$10+P114*'Controls'!$F$11+Q114*'Controls'!$F$12+R114*'Controls'!$F$13</x:f>
        <x:v>0</x:v>
      </x:c>
      <x:c r="M114" s="20" t="n">
        <x:f>EXP(K114-C114*L114)</x:f>
        <x:v>0.05879372931001063</x:v>
      </x:c>
      <x:c r="N114" s="20" t="n">
        <x:f>IF(C114&lt;=1,1,IF(C114&lt;5,(5-C114)/4,0))</x:f>
        <x:v>0</x:v>
      </x:c>
      <x:c r="O114" s="20" t="n">
        <x:f>IF(C114&lt;=1,0,IF(C114&lt;5,(C114-1)/4,IF(C114&lt;10,(10-C114)/5,0)))</x:f>
        <x:v>0</x:v>
      </x:c>
      <x:c r="P114" s="20" t="n">
        <x:f>IF(C114&lt;=5,0,IF(C114&lt;10,(C114-5)/5,IF(C114&lt;20,(20-C114)/10,0)))</x:f>
        <x:v>0</x:v>
      </x:c>
      <x:c r="Q114" s="20" t="n">
        <x:f>IF(C114&lt;=10,0,IF(C114&lt;20,(C114-10)/10,IF(C114&lt;30,(30-C114)/10,0)))</x:f>
        <x:v>0</x:v>
      </x:c>
      <x:c r="R114" s="20" t="n">
        <x:f>IF(C114&lt;=20,0,IF(C114&lt;30,(C114-20)/10,1))</x:f>
        <x:v>1</x:v>
      </x:c>
    </x:row>
    <x:row r="115" ht="20" customHeight="1">
      <x:c r="A115" s="2"/>
      <x:c r="B115" s="2"/>
      <x:c r="C115" s="2" t="n">
        <x:v>109</x:v>
      </x:c>
      <x:c r="D115" s="46" t="n">
        <x:f>IF(C115=0,1,(1-EXP(-C115/'Sources'!$D$10))/(C115/'Sources'!$D$10))</x:f>
        <x:v>0.0171059603563411</x:v>
      </x:c>
      <x:c r="E115" s="46" t="n">
        <x:f>EXP(-C115/'Sources'!$D$10)</x:f>
        <x:v>4.088003504674039e-26</x:v>
      </x:c>
      <x:c r="F115" s="46" t="n">
        <x:f>IF(C115=0,1,(1-EXP(-C115/'Sources'!$D$11))/(C115/'Sources'!$D$11))</x:f>
        <x:v>0.14392053363833898</x:v>
      </x:c>
      <x:c r="G115" s="46" t="n">
        <x:f>EXP(-C115/'Sources'!$D$11)</x:f>
        <x:v>0.0009667587847192929</x:v>
      </x:c>
      <x:c r="H115" s="47" t="n">
        <x:f>('Sources'!$D$6+'Sources'!$D$7*D115+'Sources'!$D$8*(D115-E115)+'Sources'!$D$9*(F115-G115))/100</x:f>
        <x:v>0.026008247373628945</x:v>
      </x:c>
      <x:c r="I115" s="20" t="n">
        <x:f>-C115*H115</x:f>
        <x:v>-2.8348989637255553</x:v>
      </x:c>
      <x:c r="J115" s="20" t="n">
        <x:f>EXP(I115)</x:f>
        <x:v>0.058724458834682525</x:v>
      </x:c>
      <x:c r="K115" s="46" t="n">
        <x:f>IF(C115&lt;=30,I115,IF('Controls'!$F$14=1,I115,IF('Controls'!$F$14=2,$I$36+(C115-30)*($I$36-$I$35),-C115*$H$36)))</x:f>
        <x:v>-2.8348989637255553</x:v>
      </x:c>
      <x:c r="L115" s="48" t="n">
        <x:f>'Controls'!$F$8+N115*'Controls'!$F$9+O115*'Controls'!$F$10+P115*'Controls'!$F$11+Q115*'Controls'!$F$12+R115*'Controls'!$F$13</x:f>
        <x:v>0</x:v>
      </x:c>
      <x:c r="M115" s="20" t="n">
        <x:f>EXP(K115-C115*L115)</x:f>
        <x:v>0.058724458834682525</x:v>
      </x:c>
      <x:c r="N115" s="20" t="n">
        <x:f>IF(C115&lt;=1,1,IF(C115&lt;5,(5-C115)/4,0))</x:f>
        <x:v>0</x:v>
      </x:c>
      <x:c r="O115" s="20" t="n">
        <x:f>IF(C115&lt;=1,0,IF(C115&lt;5,(C115-1)/4,IF(C115&lt;10,(10-C115)/5,0)))</x:f>
        <x:v>0</x:v>
      </x:c>
      <x:c r="P115" s="20" t="n">
        <x:f>IF(C115&lt;=5,0,IF(C115&lt;10,(C115-5)/5,IF(C115&lt;20,(20-C115)/10,0)))</x:f>
        <x:v>0</x:v>
      </x:c>
      <x:c r="Q115" s="20" t="n">
        <x:f>IF(C115&lt;=10,0,IF(C115&lt;20,(C115-10)/10,IF(C115&lt;30,(30-C115)/10,0)))</x:f>
        <x:v>0</x:v>
      </x:c>
      <x:c r="R115" s="20" t="n">
        <x:f>IF(C115&lt;=20,0,IF(C115&lt;30,(C115-20)/10,1))</x:f>
        <x:v>1</x:v>
      </x:c>
    </x:row>
    <x:row r="116" ht="20" customHeight="1">
      <x:c r="A116" s="2"/>
      <x:c r="B116" s="2"/>
      <x:c r="C116" s="2" t="n">
        <x:v>110</x:v>
      </x:c>
      <x:c r="D116" s="46" t="n">
        <x:f>IF(C116=0,1,(1-EXP(-C116/'Sources'!$D$10))/(C116/'Sources'!$D$10))</x:f>
        <x:v>0.016950451625828908</x:v>
      </x:c>
      <x:c r="E116" s="46" t="n">
        <x:f>EXP(-C116/'Sources'!$D$10)</x:f>
        <x:v>2.3910537797054246e-26</x:v>
      </x:c>
      <x:c r="F116" s="46" t="n">
        <x:f>IF(C116=0,1,(1-EXP(-C116/'Sources'!$D$11))/(C116/'Sources'!$D$11))</x:f>
        <x:v>0.14262067986369922</x:v>
      </x:c>
      <x:c r="G116" s="46" t="n">
        <x:f>EXP(-C116/'Sources'!$D$11)</x:f>
        <x:v>0.0009071111291428044</x:v>
      </x:c>
      <x:c r="H116" s="47" t="n">
        <x:f>('Sources'!$D$6+'Sources'!$D$7*D116+'Sources'!$D$8*(D116-E116)+'Sources'!$D$9*(F116-G116))/100</x:f>
        <x:v>0.02578195739033286</x:v>
      </x:c>
      <x:c r="I116" s="20" t="n">
        <x:f>-C116*H116</x:f>
        <x:v>-2.8360153129366146</x:v>
      </x:c>
      <x:c r="J116" s="20" t="n">
        <x:f>EXP(I116)</x:f>
        <x:v>0.05865893841003421</x:v>
      </x:c>
      <x:c r="K116" s="46" t="n">
        <x:f>IF(C116&lt;=30,I116,IF('Controls'!$F$14=1,I116,IF('Controls'!$F$14=2,$I$36+(C116-30)*($I$36-$I$35),-C116*$H$36)))</x:f>
        <x:v>-2.8360153129366146</x:v>
      </x:c>
      <x:c r="L116" s="48" t="n">
        <x:f>'Controls'!$F$8+N116*'Controls'!$F$9+O116*'Controls'!$F$10+P116*'Controls'!$F$11+Q116*'Controls'!$F$12+R116*'Controls'!$F$13</x:f>
        <x:v>0</x:v>
      </x:c>
      <x:c r="M116" s="20" t="n">
        <x:f>EXP(K116-C116*L116)</x:f>
        <x:v>0.05865893841003421</x:v>
      </x:c>
      <x:c r="N116" s="20" t="n">
        <x:f>IF(C116&lt;=1,1,IF(C116&lt;5,(5-C116)/4,0))</x:f>
        <x:v>0</x:v>
      </x:c>
      <x:c r="O116" s="20" t="n">
        <x:f>IF(C116&lt;=1,0,IF(C116&lt;5,(C116-1)/4,IF(C116&lt;10,(10-C116)/5,0)))</x:f>
        <x:v>0</x:v>
      </x:c>
      <x:c r="P116" s="20" t="n">
        <x:f>IF(C116&lt;=5,0,IF(C116&lt;10,(C116-5)/5,IF(C116&lt;20,(20-C116)/10,0)))</x:f>
        <x:v>0</x:v>
      </x:c>
      <x:c r="Q116" s="20" t="n">
        <x:f>IF(C116&lt;=10,0,IF(C116&lt;20,(C116-10)/10,IF(C116&lt;30,(30-C116)/10,0)))</x:f>
        <x:v>0</x:v>
      </x:c>
      <x:c r="R116" s="20" t="n">
        <x:f>IF(C116&lt;=20,0,IF(C116&lt;30,(C116-20)/10,1))</x:f>
        <x:v>1</x:v>
      </x:c>
    </x:row>
    <x:row r="117" ht="20" customHeight="1">
      <x:c r="A117" s="2"/>
      <x:c r="B117" s="2"/>
      <x:c r="C117" s="2" t="n">
        <x:v>111</x:v>
      </x:c>
      <x:c r="D117" s="46" t="n">
        <x:f>IF(C117=0,1,(1-EXP(-C117/'Sources'!$D$10))/(C117/'Sources'!$D$10))</x:f>
        <x:v>0.016797744854425044</x:v>
      </x:c>
      <x:c r="E117" s="46" t="n">
        <x:f>EXP(-C117/'Sources'!$D$10)</x:f>
        <x:v>1.3985159677350765e-26</x:v>
      </x:c>
      <x:c r="F117" s="46" t="n">
        <x:f>IF(C117=0,1,(1-EXP(-C117/'Sources'!$D$11))/(C117/'Sources'!$D$11))</x:f>
        <x:v>0.14134372626483666</x:v>
      </x:c>
      <x:c r="G117" s="46" t="n">
        <x:f>EXP(-C117/'Sources'!$D$11)</x:f>
        <x:v>0.0008511436499164118</x:v>
      </x:c>
      <x:c r="H117" s="47" t="n">
        <x:f>('Sources'!$D$6+'Sources'!$D$7*D117+'Sources'!$D$8*(D117-E117)+'Sources'!$D$9*(F117-G117))/100</x:f>
        <x:v>0.025559210372898555</x:v>
      </x:c>
      <x:c r="I117" s="20" t="n">
        <x:f>-C117*H117</x:f>
        <x:v>-2.8370723513917397</x:v>
      </x:c>
      <x:c r="J117" s="20" t="n">
        <x:f>EXP(I117)</x:f>
        <x:v>0.0585969664155589</x:v>
      </x:c>
      <x:c r="K117" s="46" t="n">
        <x:f>IF(C117&lt;=30,I117,IF('Controls'!$F$14=1,I117,IF('Controls'!$F$14=2,$I$36+(C117-30)*($I$36-$I$35),-C117*$H$36)))</x:f>
        <x:v>-2.8370723513917397</x:v>
      </x:c>
      <x:c r="L117" s="48" t="n">
        <x:f>'Controls'!$F$8+N117*'Controls'!$F$9+O117*'Controls'!$F$10+P117*'Controls'!$F$11+Q117*'Controls'!$F$12+R117*'Controls'!$F$13</x:f>
        <x:v>0</x:v>
      </x:c>
      <x:c r="M117" s="20" t="n">
        <x:f>EXP(K117-C117*L117)</x:f>
        <x:v>0.0585969664155589</x:v>
      </x:c>
      <x:c r="N117" s="20" t="n">
        <x:f>IF(C117&lt;=1,1,IF(C117&lt;5,(5-C117)/4,0))</x:f>
        <x:v>0</x:v>
      </x:c>
      <x:c r="O117" s="20" t="n">
        <x:f>IF(C117&lt;=1,0,IF(C117&lt;5,(C117-1)/4,IF(C117&lt;10,(10-C117)/5,0)))</x:f>
        <x:v>0</x:v>
      </x:c>
      <x:c r="P117" s="20" t="n">
        <x:f>IF(C117&lt;=5,0,IF(C117&lt;10,(C117-5)/5,IF(C117&lt;20,(20-C117)/10,0)))</x:f>
        <x:v>0</x:v>
      </x:c>
      <x:c r="Q117" s="20" t="n">
        <x:f>IF(C117&lt;=10,0,IF(C117&lt;20,(C117-10)/10,IF(C117&lt;30,(30-C117)/10,0)))</x:f>
        <x:v>0</x:v>
      </x:c>
      <x:c r="R117" s="20" t="n">
        <x:f>IF(C117&lt;=20,0,IF(C117&lt;30,(C117-20)/10,1))</x:f>
        <x:v>1</x:v>
      </x:c>
    </x:row>
    <x:row r="118" ht="20" customHeight="1">
      <x:c r="A118" s="2"/>
      <x:c r="B118" s="2"/>
      <x:c r="C118" s="2" t="n">
        <x:v>112</x:v>
      </x:c>
      <x:c r="D118" s="46" t="n">
        <x:f>IF(C118=0,1,(1-EXP(-C118/'Sources'!$D$10))/(C118/'Sources'!$D$10))</x:f>
        <x:v>0.016647764989653393</x:v>
      </x:c>
      <x:c r="E118" s="46" t="n">
        <x:f>EXP(-C118/'Sources'!$D$10)</x:f>
        <x:v>8.179853287327297e-27</x:v>
      </x:c>
      <x:c r="F118" s="46" t="n">
        <x:f>IF(C118=0,1,(1-EXP(-C118/'Sources'!$D$11))/(C118/'Sources'!$D$11))</x:f>
        <x:v>0.1400890912784766</x:v>
      </x:c>
      <x:c r="G118" s="46" t="n">
        <x:f>EXP(-C118/'Sources'!$D$11)</x:f>
        <x:v>0.0007986292853419318</x:v>
      </x:c>
      <x:c r="H118" s="47" t="n">
        <x:f>('Sources'!$D$6+'Sources'!$D$7*D118+'Sources'!$D$8*(D118-E118)+'Sources'!$D$9*(F118-G118))/100</x:f>
        <x:v>0.025339938823629574</x:v>
      </x:c>
      <x:c r="I118" s="20" t="n">
        <x:f>-C118*H118</x:f>
        <x:v>-2.8380731482465125</x:v>
      </x:c>
      <x:c r="J118" s="20" t="n">
        <x:f>EXP(I118)</x:f>
        <x:v>0.05853835209127899</x:v>
      </x:c>
      <x:c r="K118" s="46" t="n">
        <x:f>IF(C118&lt;=30,I118,IF('Controls'!$F$14=1,I118,IF('Controls'!$F$14=2,$I$36+(C118-30)*($I$36-$I$35),-C118*$H$36)))</x:f>
        <x:v>-2.8380731482465125</x:v>
      </x:c>
      <x:c r="L118" s="48" t="n">
        <x:f>'Controls'!$F$8+N118*'Controls'!$F$9+O118*'Controls'!$F$10+P118*'Controls'!$F$11+Q118*'Controls'!$F$12+R118*'Controls'!$F$13</x:f>
        <x:v>0</x:v>
      </x:c>
      <x:c r="M118" s="20" t="n">
        <x:f>EXP(K118-C118*L118)</x:f>
        <x:v>0.05853835209127899</x:v>
      </x:c>
      <x:c r="N118" s="20" t="n">
        <x:f>IF(C118&lt;=1,1,IF(C118&lt;5,(5-C118)/4,0))</x:f>
        <x:v>0</x:v>
      </x:c>
      <x:c r="O118" s="20" t="n">
        <x:f>IF(C118&lt;=1,0,IF(C118&lt;5,(C118-1)/4,IF(C118&lt;10,(10-C118)/5,0)))</x:f>
        <x:v>0</x:v>
      </x:c>
      <x:c r="P118" s="20" t="n">
        <x:f>IF(C118&lt;=5,0,IF(C118&lt;10,(C118-5)/5,IF(C118&lt;20,(20-C118)/10,0)))</x:f>
        <x:v>0</x:v>
      </x:c>
      <x:c r="Q118" s="20" t="n">
        <x:f>IF(C118&lt;=10,0,IF(C118&lt;20,(C118-10)/10,IF(C118&lt;30,(30-C118)/10,0)))</x:f>
        <x:v>0</x:v>
      </x:c>
      <x:c r="R118" s="20" t="n">
        <x:f>IF(C118&lt;=20,0,IF(C118&lt;30,(C118-20)/10,1))</x:f>
        <x:v>1</x:v>
      </x:c>
    </x:row>
    <x:row r="119" ht="20" customHeight="1">
      <x:c r="A119" s="2"/>
      <x:c r="B119" s="2"/>
      <x:c r="C119" s="2" t="n">
        <x:v>113</x:v>
      </x:c>
      <x:c r="D119" s="46" t="n">
        <x:f>IF(C119=0,1,(1-EXP(-C119/'Sources'!$D$10))/(C119/'Sources'!$D$10))</x:f>
        <x:v>0.016500439635762653</x:v>
      </x:c>
      <x:c r="E119" s="46" t="n">
        <x:f>EXP(-C119/'Sources'!$D$10)</x:f>
        <x:v>4.784357229081996e-27</x:v>
      </x:c>
      <x:c r="F119" s="46" t="n">
        <x:f>IF(C119=0,1,(1-EXP(-C119/'Sources'!$D$11))/(C119/'Sources'!$D$11))</x:f>
        <x:v>0.13885621198090572</x:v>
      </x:c>
      <x:c r="G119" s="46" t="n">
        <x:f>EXP(-C119/'Sources'!$D$11)</x:f>
        <x:v>0.000749354983108201</x:v>
      </x:c>
      <x:c r="H119" s="47" t="n">
        <x:f>('Sources'!$D$6+'Sources'!$D$7*D119+'Sources'!$D$8*(D119-E119)+'Sources'!$D$9*(F119-G119))/100</x:f>
        <x:v>0.025124076280624547</x:v>
      </x:c>
      <x:c r="I119" s="20" t="n">
        <x:f>-C119*H119</x:f>
        <x:v>-2.8390206197105736</x:v>
      </x:c>
      <x:c r="J119" s="20" t="n">
        <x:f>EXP(I119)</x:f>
        <x:v>0.05848291493982604</x:v>
      </x:c>
      <x:c r="K119" s="46" t="n">
        <x:f>IF(C119&lt;=30,I119,IF('Controls'!$F$14=1,I119,IF('Controls'!$F$14=2,$I$36+(C119-30)*($I$36-$I$35),-C119*$H$36)))</x:f>
        <x:v>-2.8390206197105736</x:v>
      </x:c>
      <x:c r="L119" s="48" t="n">
        <x:f>'Controls'!$F$8+N119*'Controls'!$F$9+O119*'Controls'!$F$10+P119*'Controls'!$F$11+Q119*'Controls'!$F$12+R119*'Controls'!$F$13</x:f>
        <x:v>0</x:v>
      </x:c>
      <x:c r="M119" s="20" t="n">
        <x:f>EXP(K119-C119*L119)</x:f>
        <x:v>0.05848291493982604</x:v>
      </x:c>
      <x:c r="N119" s="20" t="n">
        <x:f>IF(C119&lt;=1,1,IF(C119&lt;5,(5-C119)/4,0))</x:f>
        <x:v>0</x:v>
      </x:c>
      <x:c r="O119" s="20" t="n">
        <x:f>IF(C119&lt;=1,0,IF(C119&lt;5,(C119-1)/4,IF(C119&lt;10,(10-C119)/5,0)))</x:f>
        <x:v>0</x:v>
      </x:c>
      <x:c r="P119" s="20" t="n">
        <x:f>IF(C119&lt;=5,0,IF(C119&lt;10,(C119-5)/5,IF(C119&lt;20,(20-C119)/10,0)))</x:f>
        <x:v>0</x:v>
      </x:c>
      <x:c r="Q119" s="20" t="n">
        <x:f>IF(C119&lt;=10,0,IF(C119&lt;20,(C119-10)/10,IF(C119&lt;30,(30-C119)/10,0)))</x:f>
        <x:v>0</x:v>
      </x:c>
      <x:c r="R119" s="20" t="n">
        <x:f>IF(C119&lt;=20,0,IF(C119&lt;30,(C119-20)/10,1))</x:f>
        <x:v>1</x:v>
      </x:c>
    </x:row>
    <x:row r="120" ht="20" customHeight="1">
      <x:c r="A120" s="2"/>
      <x:c r="B120" s="2"/>
      <x:c r="C120" s="2" t="n">
        <x:v>114</x:v>
      </x:c>
      <x:c r="D120" s="46" t="n">
        <x:f>IF(C120=0,1,(1-EXP(-C120/'Sources'!$D$10))/(C120/'Sources'!$D$10))</x:f>
        <x:v>0.016355698937203334</x:v>
      </x:c>
      <x:c r="E120" s="46" t="n">
        <x:f>EXP(-C120/'Sources'!$D$10)</x:f>
        <x:v>2.7983477565461708e-27</x:v>
      </x:c>
      <x:c r="F120" s="46" t="n">
        <x:f>IF(C120=0,1,(1-EXP(-C120/'Sources'!$D$11))/(C120/'Sources'!$D$11))</x:f>
        <x:v>0.1376445433895056</x:v>
      </x:c>
      <x:c r="G120" s="46" t="n">
        <x:f>EXP(-C120/'Sources'!$D$11)</x:f>
        <x:v>0.000703120835931621</x:v>
      </x:c>
      <x:c r="H120" s="47" t="n">
        <x:f>('Sources'!$D$6+'Sources'!$D$7*D120+'Sources'!$D$8*(D120-E120)+'Sources'!$D$9*(F120-G120))/100</x:f>
        <x:v>0.024911557335415124</x:v>
      </x:c>
      <x:c r="I120" s="20" t="n">
        <x:f>-C120*H120</x:f>
        <x:v>-2.839917536237324</x:v>
      </x:c>
      <x:c r="J120" s="20" t="n">
        <x:f>EXP(I120)</x:f>
        <x:v>0.05843048416341377</x:v>
      </x:c>
      <x:c r="K120" s="46" t="n">
        <x:f>IF(C120&lt;=30,I120,IF('Controls'!$F$14=1,I120,IF('Controls'!$F$14=2,$I$36+(C120-30)*($I$36-$I$35),-C120*$H$36)))</x:f>
        <x:v>-2.839917536237324</x:v>
      </x:c>
      <x:c r="L120" s="48" t="n">
        <x:f>'Controls'!$F$8+N120*'Controls'!$F$9+O120*'Controls'!$F$10+P120*'Controls'!$F$11+Q120*'Controls'!$F$12+R120*'Controls'!$F$13</x:f>
        <x:v>0</x:v>
      </x:c>
      <x:c r="M120" s="20" t="n">
        <x:f>EXP(K120-C120*L120)</x:f>
        <x:v>0.05843048416341377</x:v>
      </x:c>
      <x:c r="N120" s="20" t="n">
        <x:f>IF(C120&lt;=1,1,IF(C120&lt;5,(5-C120)/4,0))</x:f>
        <x:v>0</x:v>
      </x:c>
      <x:c r="O120" s="20" t="n">
        <x:f>IF(C120&lt;=1,0,IF(C120&lt;5,(C120-1)/4,IF(C120&lt;10,(10-C120)/5,0)))</x:f>
        <x:v>0</x:v>
      </x:c>
      <x:c r="P120" s="20" t="n">
        <x:f>IF(C120&lt;=5,0,IF(C120&lt;10,(C120-5)/5,IF(C120&lt;20,(20-C120)/10,0)))</x:f>
        <x:v>0</x:v>
      </x:c>
      <x:c r="Q120" s="20" t="n">
        <x:f>IF(C120&lt;=10,0,IF(C120&lt;20,(C120-10)/10,IF(C120&lt;30,(30-C120)/10,0)))</x:f>
        <x:v>0</x:v>
      </x:c>
      <x:c r="R120" s="20" t="n">
        <x:f>IF(C120&lt;=20,0,IF(C120&lt;30,(C120-20)/10,1))</x:f>
        <x:v>1</x:v>
      </x:c>
    </x:row>
    <x:row r="121" ht="20" customHeight="1">
      <x:c r="A121" s="2"/>
      <x:c r="B121" s="2"/>
      <x:c r="C121" s="2" t="n">
        <x:v>115</x:v>
      </x:c>
      <x:c r="D121" s="46" t="n">
        <x:f>IF(C121=0,1,(1-EXP(-C121/'Sources'!$D$10))/(C121/'Sources'!$D$10))</x:f>
        <x:v>0.016213475468184173</x:v>
      </x:c>
      <x:c r="E121" s="46" t="n">
        <x:f>EXP(-C121/'Sources'!$D$10)</x:f>
        <x:v>1.6367402749458824e-27</x:v>
      </x:c>
      <x:c r="F121" s="46" t="n">
        <x:f>IF(C121=0,1,(1-EXP(-C121/'Sources'!$D$11))/(C121/'Sources'!$D$11))</x:f>
        <x:v>0.13645355779344587</x:v>
      </x:c>
      <x:c r="G121" s="46" t="n">
        <x:f>EXP(-C121/'Sources'!$D$11)</x:f>
        <x:v>0.0006597392705264718</x:v>
      </x:c>
      <x:c r="H121" s="47" t="n">
        <x:f>('Sources'!$D$6+'Sources'!$D$7*D121+'Sources'!$D$8*(D121-E121)+'Sources'!$D$9*(F121-G121))/100</x:f>
        <x:v>0.02470231764703169</x:v>
      </x:c>
      <x:c r="I121" s="20" t="n">
        <x:f>-C121*H121</x:f>
        <x:v>-2.8407665294086444</x:v>
      </x:c>
      <x:c r="J121" s="20" t="n">
        <x:f>EXP(I121)</x:f>
        <x:v>0.05838089813344094</x:v>
      </x:c>
      <x:c r="K121" s="46" t="n">
        <x:f>IF(C121&lt;=30,I121,IF('Controls'!$F$14=1,I121,IF('Controls'!$F$14=2,$I$36+(C121-30)*($I$36-$I$35),-C121*$H$36)))</x:f>
        <x:v>-2.8407665294086444</x:v>
      </x:c>
      <x:c r="L121" s="48" t="n">
        <x:f>'Controls'!$F$8+N121*'Controls'!$F$9+O121*'Controls'!$F$10+P121*'Controls'!$F$11+Q121*'Controls'!$F$12+R121*'Controls'!$F$13</x:f>
        <x:v>0</x:v>
      </x:c>
      <x:c r="M121" s="20" t="n">
        <x:f>EXP(K121-C121*L121)</x:f>
        <x:v>0.05838089813344094</x:v>
      </x:c>
      <x:c r="N121" s="20" t="n">
        <x:f>IF(C121&lt;=1,1,IF(C121&lt;5,(5-C121)/4,0))</x:f>
        <x:v>0</x:v>
      </x:c>
      <x:c r="O121" s="20" t="n">
        <x:f>IF(C121&lt;=1,0,IF(C121&lt;5,(C121-1)/4,IF(C121&lt;10,(10-C121)/5,0)))</x:f>
        <x:v>0</x:v>
      </x:c>
      <x:c r="P121" s="20" t="n">
        <x:f>IF(C121&lt;=5,0,IF(C121&lt;10,(C121-5)/5,IF(C121&lt;20,(20-C121)/10,0)))</x:f>
        <x:v>0</x:v>
      </x:c>
      <x:c r="Q121" s="20" t="n">
        <x:f>IF(C121&lt;=10,0,IF(C121&lt;20,(C121-10)/10,IF(C121&lt;30,(30-C121)/10,0)))</x:f>
        <x:v>0</x:v>
      </x:c>
      <x:c r="R121" s="20" t="n">
        <x:f>IF(C121&lt;=20,0,IF(C121&lt;30,(C121-20)/10,1))</x:f>
        <x:v>1</x:v>
      </x:c>
    </x:row>
    <x:row r="122" ht="20" customHeight="1">
      <x:c r="A122" s="2"/>
      <x:c r="B122" s="2"/>
      <x:c r="C122" s="2" t="n">
        <x:v>116</x:v>
      </x:c>
      <x:c r="D122" s="46" t="n">
        <x:f>IF(C122=0,1,(1-EXP(-C122/'Sources'!$D$10))/(C122/'Sources'!$D$10))</x:f>
        <x:v>0.016073704127941207</x:v>
      </x:c>
      <x:c r="E122" s="46" t="n">
        <x:f>EXP(-C122/'Sources'!$D$10)</x:f>
        <x:v>9.573215914151957e-28</x:v>
      </x:c>
      <x:c r="F122" s="46" t="n">
        <x:f>IF(C122=0,1,(1-EXP(-C122/'Sources'!$D$11))/(C122/'Sources'!$D$11))</x:f>
        <x:v>0.1352827441122235</x:v>
      </x:c>
      <x:c r="G122" s="46" t="n">
        <x:f>EXP(-C122/'Sources'!$D$11)</x:f>
        <x:v>0.0006190342866146132</x:v>
      </x:c>
      <x:c r="H122" s="47" t="n">
        <x:f>('Sources'!$D$6+'Sources'!$D$7*D122+'Sources'!$D$8*(D122-E122)+'Sources'!$D$9*(F122-G122))/100</x:f>
        <x:v>0.024496293952801083</x:v>
      </x:c>
      <x:c r="I122" s="20" t="n">
        <x:f>-C122*H122</x:f>
        <x:v>-2.8415700985249255</x:v>
      </x:c>
      <x:c r="J122" s="20" t="n">
        <x:f>EXP(I122)</x:f>
        <x:v>0.05833400389062618</x:v>
      </x:c>
      <x:c r="K122" s="46" t="n">
        <x:f>IF(C122&lt;=30,I122,IF('Controls'!$F$14=1,I122,IF('Controls'!$F$14=2,$I$36+(C122-30)*($I$36-$I$35),-C122*$H$36)))</x:f>
        <x:v>-2.8415700985249255</x:v>
      </x:c>
      <x:c r="L122" s="48" t="n">
        <x:f>'Controls'!$F$8+N122*'Controls'!$F$9+O122*'Controls'!$F$10+P122*'Controls'!$F$11+Q122*'Controls'!$F$12+R122*'Controls'!$F$13</x:f>
        <x:v>0</x:v>
      </x:c>
      <x:c r="M122" s="20" t="n">
        <x:f>EXP(K122-C122*L122)</x:f>
        <x:v>0.05833400389062618</x:v>
      </x:c>
      <x:c r="N122" s="20" t="n">
        <x:f>IF(C122&lt;=1,1,IF(C122&lt;5,(5-C122)/4,0))</x:f>
        <x:v>0</x:v>
      </x:c>
      <x:c r="O122" s="20" t="n">
        <x:f>IF(C122&lt;=1,0,IF(C122&lt;5,(C122-1)/4,IF(C122&lt;10,(10-C122)/5,0)))</x:f>
        <x:v>0</x:v>
      </x:c>
      <x:c r="P122" s="20" t="n">
        <x:f>IF(C122&lt;=5,0,IF(C122&lt;10,(C122-5)/5,IF(C122&lt;20,(20-C122)/10,0)))</x:f>
        <x:v>0</x:v>
      </x:c>
      <x:c r="Q122" s="20" t="n">
        <x:f>IF(C122&lt;=10,0,IF(C122&lt;20,(C122-10)/10,IF(C122&lt;30,(30-C122)/10,0)))</x:f>
        <x:v>0</x:v>
      </x:c>
      <x:c r="R122" s="20" t="n">
        <x:f>IF(C122&lt;=20,0,IF(C122&lt;30,(C122-20)/10,1))</x:f>
        <x:v>1</x:v>
      </x:c>
    </x:row>
    <x:row r="123" ht="20" customHeight="1">
      <x:c r="A123" s="2"/>
      <x:c r="B123" s="2"/>
      <x:c r="C123" s="2" t="n">
        <x:v>117</x:v>
      </x:c>
      <x:c r="D123" s="46" t="n">
        <x:f>IF(C123=0,1,(1-EXP(-C123/'Sources'!$D$10))/(C123/'Sources'!$D$10))</x:f>
        <x:v>0.015936322041377605</x:v>
      </x:c>
      <x:c r="E123" s="46" t="n">
        <x:f>EXP(-C123/'Sources'!$D$10)</x:f>
        <x:v>5.599328393260349e-28</x:v>
      </x:c>
      <x:c r="F123" s="46" t="n">
        <x:f>IF(C123=0,1,(1-EXP(-C123/'Sources'!$D$11))/(C123/'Sources'!$D$11))</x:f>
        <x:v>0.13413160728079554</x:v>
      </x:c>
      <x:c r="G123" s="46" t="n">
        <x:f>EXP(-C123/'Sources'!$D$11)</x:f>
        <x:v>0.0005808407428872118</x:v>
      </x:c>
      <x:c r="H123" s="47" t="n">
        <x:f>('Sources'!$D$6+'Sources'!$D$7*D123+'Sources'!$D$8*(D123-E123)+'Sources'!$D$9*(F123-G123))/100</x:f>
        <x:v>0.02429342407615849</x:v>
      </x:c>
      <x:c r="I123" s="20" t="n">
        <x:f>-C123*H123</x:f>
        <x:v>-2.8423306169105436</x:v>
      </x:c>
      <x:c r="J123" s="20" t="n">
        <x:f>EXP(I123)</x:f>
        <x:v>0.05828965667373503</x:v>
      </x:c>
      <x:c r="K123" s="46" t="n">
        <x:f>IF(C123&lt;=30,I123,IF('Controls'!$F$14=1,I123,IF('Controls'!$F$14=2,$I$36+(C123-30)*($I$36-$I$35),-C123*$H$36)))</x:f>
        <x:v>-2.8423306169105436</x:v>
      </x:c>
      <x:c r="L123" s="48" t="n">
        <x:f>'Controls'!$F$8+N123*'Controls'!$F$9+O123*'Controls'!$F$10+P123*'Controls'!$F$11+Q123*'Controls'!$F$12+R123*'Controls'!$F$13</x:f>
        <x:v>0</x:v>
      </x:c>
      <x:c r="M123" s="20" t="n">
        <x:f>EXP(K123-C123*L123)</x:f>
        <x:v>0.05828965667373503</x:v>
      </x:c>
      <x:c r="N123" s="20" t="n">
        <x:f>IF(C123&lt;=1,1,IF(C123&lt;5,(5-C123)/4,0))</x:f>
        <x:v>0</x:v>
      </x:c>
      <x:c r="O123" s="20" t="n">
        <x:f>IF(C123&lt;=1,0,IF(C123&lt;5,(C123-1)/4,IF(C123&lt;10,(10-C123)/5,0)))</x:f>
        <x:v>0</x:v>
      </x:c>
      <x:c r="P123" s="20" t="n">
        <x:f>IF(C123&lt;=5,0,IF(C123&lt;10,(C123-5)/5,IF(C123&lt;20,(20-C123)/10,0)))</x:f>
        <x:v>0</x:v>
      </x:c>
      <x:c r="Q123" s="20" t="n">
        <x:f>IF(C123&lt;=10,0,IF(C123&lt;20,(C123-10)/10,IF(C123&lt;30,(30-C123)/10,0)))</x:f>
        <x:v>0</x:v>
      </x:c>
      <x:c r="R123" s="20" t="n">
        <x:f>IF(C123&lt;=20,0,IF(C123&lt;30,(C123-20)/10,1))</x:f>
        <x:v>1</x:v>
      </x:c>
    </x:row>
    <x:row r="124" ht="20" customHeight="1">
      <x:c r="A124" s="2"/>
      <x:c r="B124" s="2"/>
      <x:c r="C124" s="2" t="n">
        <x:v>118</x:v>
      </x:c>
      <x:c r="D124" s="46" t="n">
        <x:f>IF(C124=0,1,(1-EXP(-C124/'Sources'!$D$10))/(C124/'Sources'!$D$10))</x:f>
        <x:v>0.015801268464755762</x:v>
      </x:c>
      <x:c r="E124" s="46" t="n">
        <x:f>EXP(-C124/'Sources'!$D$10)</x:f>
        <x:v>3.2750205089622565e-28</x:v>
      </x:c>
      <x:c r="F124" s="46" t="n">
        <x:f>IF(C124=0,1,(1-EXP(-C124/'Sources'!$D$11))/(C124/'Sources'!$D$11))</x:f>
        <x:v>0.13299966766011423</x:v>
      </x:c>
      <x:c r="G124" s="46" t="n">
        <x:f>EXP(-C124/'Sources'!$D$11)</x:f>
        <x:v>0.0005450036870216287</x:v>
      </x:c>
      <x:c r="H124" s="47" t="n">
        <x:f>('Sources'!$D$6+'Sources'!$D$7*D124+'Sources'!$D$8*(D124-E124)+'Sources'!$D$9*(F124-G124))/100</x:f>
        <x:v>0.024093646931735737</x:v>
      </x:c>
      <x:c r="I124" s="20" t="n">
        <x:f>-C124*H124</x:f>
        <x:v>-2.843050337944817</x:v>
      </x:c>
      <x:c r="J124" s="20" t="n">
        <x:f>EXP(I124)</x:f>
        <x:v>0.058247719475098644</x:v>
      </x:c>
      <x:c r="K124" s="46" t="n">
        <x:f>IF(C124&lt;=30,I124,IF('Controls'!$F$14=1,I124,IF('Controls'!$F$14=2,$I$36+(C124-30)*($I$36-$I$35),-C124*$H$36)))</x:f>
        <x:v>-2.843050337944817</x:v>
      </x:c>
      <x:c r="L124" s="48" t="n">
        <x:f>'Controls'!$F$8+N124*'Controls'!$F$9+O124*'Controls'!$F$10+P124*'Controls'!$F$11+Q124*'Controls'!$F$12+R124*'Controls'!$F$13</x:f>
        <x:v>0</x:v>
      </x:c>
      <x:c r="M124" s="20" t="n">
        <x:f>EXP(K124-C124*L124)</x:f>
        <x:v>0.058247719475098644</x:v>
      </x:c>
      <x:c r="N124" s="20" t="n">
        <x:f>IF(C124&lt;=1,1,IF(C124&lt;5,(5-C124)/4,0))</x:f>
        <x:v>0</x:v>
      </x:c>
      <x:c r="O124" s="20" t="n">
        <x:f>IF(C124&lt;=1,0,IF(C124&lt;5,(C124-1)/4,IF(C124&lt;10,(10-C124)/5,0)))</x:f>
        <x:v>0</x:v>
      </x:c>
      <x:c r="P124" s="20" t="n">
        <x:f>IF(C124&lt;=5,0,IF(C124&lt;10,(C124-5)/5,IF(C124&lt;20,(20-C124)/10,0)))</x:f>
        <x:v>0</x:v>
      </x:c>
      <x:c r="Q124" s="20" t="n">
        <x:f>IF(C124&lt;=10,0,IF(C124&lt;20,(C124-10)/10,IF(C124&lt;30,(30-C124)/10,0)))</x:f>
        <x:v>0</x:v>
      </x:c>
      <x:c r="R124" s="20" t="n">
        <x:f>IF(C124&lt;=20,0,IF(C124&lt;30,(C124-20)/10,1))</x:f>
        <x:v>1</x:v>
      </x:c>
    </x:row>
    <x:row r="125" ht="20" customHeight="1">
      <x:c r="A125" s="2"/>
      <x:c r="B125" s="2"/>
      <x:c r="C125" s="2" t="n">
        <x:v>119</x:v>
      </x:c>
      <x:c r="D125" s="46" t="n">
        <x:f>IF(C125=0,1,(1-EXP(-C125/'Sources'!$D$10))/(C125/'Sources'!$D$10))</x:f>
        <x:v>0.01566848469614437</x:v>
      </x:c>
      <x:c r="E125" s="46" t="n">
        <x:f>EXP(-C125/'Sources'!$D$10)</x:f>
        <x:v>1.9155438975562671e-28</x:v>
      </x:c>
      <x:c r="F125" s="46" t="n">
        <x:f>IF(C125=0,1,(1-EXP(-C125/'Sources'!$D$11))/(C125/'Sources'!$D$11))</x:f>
        <x:v>0.1318864604719282</x:v>
      </x:c>
      <x:c r="G125" s="46" t="n">
        <x:f>EXP(-C125/'Sources'!$D$11)</x:f>
        <x:v>0.0005113777270353209</x:v>
      </x:c>
      <x:c r="H125" s="47" t="n">
        <x:f>('Sources'!$D$6+'Sources'!$D$7*D125+'Sources'!$D$8*(D125-E125)+'Sources'!$D$9*(F125-G125))/100</x:f>
        <x:v>0.023896902527969072</x:v>
      </x:c>
      <x:c r="I125" s="20" t="n">
        <x:f>-C125*H125</x:f>
        <x:v>-2.8437314008283194</x:v>
      </x:c>
      <x:c r="J125" s="20" t="n">
        <x:f>EXP(I125)</x:f>
        <x:v>0.05820806262125399</x:v>
      </x:c>
      <x:c r="K125" s="46" t="n">
        <x:f>IF(C125&lt;=30,I125,IF('Controls'!$F$14=1,I125,IF('Controls'!$F$14=2,$I$36+(C125-30)*($I$36-$I$35),-C125*$H$36)))</x:f>
        <x:v>-2.8437314008283194</x:v>
      </x:c>
      <x:c r="L125" s="48" t="n">
        <x:f>'Controls'!$F$8+N125*'Controls'!$F$9+O125*'Controls'!$F$10+P125*'Controls'!$F$11+Q125*'Controls'!$F$12+R125*'Controls'!$F$13</x:f>
        <x:v>0</x:v>
      </x:c>
      <x:c r="M125" s="20" t="n">
        <x:f>EXP(K125-C125*L125)</x:f>
        <x:v>0.05820806262125399</x:v>
      </x:c>
      <x:c r="N125" s="20" t="n">
        <x:f>IF(C125&lt;=1,1,IF(C125&lt;5,(5-C125)/4,0))</x:f>
        <x:v>0</x:v>
      </x:c>
      <x:c r="O125" s="20" t="n">
        <x:f>IF(C125&lt;=1,0,IF(C125&lt;5,(C125-1)/4,IF(C125&lt;10,(10-C125)/5,0)))</x:f>
        <x:v>0</x:v>
      </x:c>
      <x:c r="P125" s="20" t="n">
        <x:f>IF(C125&lt;=5,0,IF(C125&lt;10,(C125-5)/5,IF(C125&lt;20,(20-C125)/10,0)))</x:f>
        <x:v>0</x:v>
      </x:c>
      <x:c r="Q125" s="20" t="n">
        <x:f>IF(C125&lt;=10,0,IF(C125&lt;20,(C125-10)/10,IF(C125&lt;30,(30-C125)/10,0)))</x:f>
        <x:v>0</x:v>
      </x:c>
      <x:c r="R125" s="20" t="n">
        <x:f>IF(C125&lt;=20,0,IF(C125&lt;30,(C125-20)/10,1))</x:f>
        <x:v>1</x:v>
      </x:c>
    </x:row>
    <x:row r="126" ht="20" customHeight="1">
      <x:c r="A126" s="2"/>
      <x:c r="B126" s="2"/>
      <x:c r="C126" s="2" t="n">
        <x:v>120</x:v>
      </x:c>
      <x:c r="D126" s="46" t="n">
        <x:f>IF(C126=0,1,(1-EXP(-C126/'Sources'!$D$10))/(C126/'Sources'!$D$10))</x:f>
        <x:v>0.015537913990343166</x:v>
      </x:c>
      <x:c r="E126" s="46" t="n">
        <x:f>EXP(-C126/'Sources'!$D$10)</x:f>
        <x:v>1.1203925024053386e-28</x:v>
      </x:c>
      <x:c r="F126" s="46" t="n">
        <x:f>IF(C126=0,1,(1-EXP(-C126/'Sources'!$D$11))/(C126/'Sources'!$D$11))</x:f>
        <x:v>0.13079153525676832</x:v>
      </x:c>
      <x:c r="G126" s="46" t="n">
        <x:f>EXP(-C126/'Sources'!$D$11)</x:f>
        <x:v>0.0004798264414263186</x:v>
      </x:c>
      <x:c r="H126" s="47" t="n">
        <x:f>('Sources'!$D$6+'Sources'!$D$7*D126+'Sources'!$D$8*(D126-E126)+'Sources'!$D$9*(F126-G126))/100</x:f>
        <x:v>0.023703131967451982</x:v>
      </x:c>
      <x:c r="I126" s="20" t="n">
        <x:f>-C126*H126</x:f>
        <x:v>-2.8443758360942377</x:v>
      </x:c>
      <x:c r="J126" s="20" t="n">
        <x:f>EXP(I126)</x:f>
        <x:v>0.058170563377155524</x:v>
      </x:c>
      <x:c r="K126" s="46" t="n">
        <x:f>IF(C126&lt;=30,I126,IF('Controls'!$F$14=1,I126,IF('Controls'!$F$14=2,$I$36+(C126-30)*($I$36-$I$35),-C126*$H$36)))</x:f>
        <x:v>-2.8443758360942377</x:v>
      </x:c>
      <x:c r="L126" s="48" t="n">
        <x:f>'Controls'!$F$8+N126*'Controls'!$F$9+O126*'Controls'!$F$10+P126*'Controls'!$F$11+Q126*'Controls'!$F$12+R126*'Controls'!$F$13</x:f>
        <x:v>0</x:v>
      </x:c>
      <x:c r="M126" s="20" t="n">
        <x:f>EXP(K126-C126*L126)</x:f>
        <x:v>0.058170563377155524</x:v>
      </x:c>
      <x:c r="N126" s="20" t="n">
        <x:f>IF(C126&lt;=1,1,IF(C126&lt;5,(5-C126)/4,0))</x:f>
        <x:v>0</x:v>
      </x:c>
      <x:c r="O126" s="20" t="n">
        <x:f>IF(C126&lt;=1,0,IF(C126&lt;5,(C126-1)/4,IF(C126&lt;10,(10-C126)/5,0)))</x:f>
        <x:v>0</x:v>
      </x:c>
      <x:c r="P126" s="20" t="n">
        <x:f>IF(C126&lt;=5,0,IF(C126&lt;10,(C126-5)/5,IF(C126&lt;20,(20-C126)/10,0)))</x:f>
        <x:v>0</x:v>
      </x:c>
      <x:c r="Q126" s="20" t="n">
        <x:f>IF(C126&lt;=10,0,IF(C126&lt;20,(C126-10)/10,IF(C126&lt;30,(30-C126)/10,0)))</x:f>
        <x:v>0</x:v>
      </x:c>
      <x:c r="R126" s="20" t="n">
        <x:f>IF(C126&lt;=20,0,IF(C126&lt;30,(C126-20)/10,1))</x:f>
        <x:v>1</x:v>
      </x:c>
    </x:row>
    <x:row r="127" ht="20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</x:row>
    <x:row r="128" ht="20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3" hidden="0" customWidth="1"/>
    <x:col min="2" max="2" width="2" hidden="0" customWidth="1"/>
    <x:col min="3" max="3" width="3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</x:cols>
  <x:sheetData>
    <x:row r="1" ht="2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0" customHeight="1">
      <x:c r="A2" s="2"/>
      <x:c r="B2" s="2"/>
      <x:c r="C2" s="4" t="str">
        <x:v>Ten-year expected runoff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3" ht="20" customHeight="1">
      <x:c r="A3" s="2"/>
      <x:c r="B3" s="2"/>
      <x:c r="C3" s="2" t="str">
        <x:v>Portfolio</x:v>
      </x:c>
      <x:c r="D3" s="6" t="str">
        <x:f>INDEX('Sources'!$H$7:$K$7,1,'Controls'!$F$4)</x:f>
        <x:v>Covariance hedge</x:v>
      </x:c>
      <x:c r="E3" s="2"/>
      <x:c r="F3" s="2"/>
      <x:c r="G3" s="2"/>
      <x:c r="H3" s="2"/>
      <x:c r="I3" s="2"/>
      <x:c r="J3" s="2"/>
      <x:c r="K3" s="2"/>
      <x:c r="L3" s="2"/>
      <x:c r="M3" s="2"/>
    </x:row>
    <x:row r="4" ht="20" customHeight="1">
      <x:c r="A4" s="2"/>
      <x:c r="B4" s="2"/>
      <x:c r="C4" s="23" t="str">
        <x:v>Base-curve forwards; expected benefits; fixed initial faces; no re-hedging.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0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34" customHeight="1">
      <x:c r="A6" s="2"/>
      <x:c r="B6" s="2"/>
      <x:c r="C6" s="17" t="str">
        <x:v>Anniversary year</x:v>
      </x:c>
      <x:c r="D6" s="18" t="n">
        <x:v>1</x:v>
      </x:c>
      <x:c r="E6" s="18" t="n">
        <x:v>2</x:v>
      </x:c>
      <x:c r="F6" s="18" t="n">
        <x:v>3</x:v>
      </x:c>
      <x:c r="G6" s="18" t="n">
        <x:v>4</x:v>
      </x:c>
      <x:c r="H6" s="18" t="n">
        <x:v>5</x:v>
      </x:c>
      <x:c r="I6" s="18" t="n">
        <x:v>6</x:v>
      </x:c>
      <x:c r="J6" s="18" t="n">
        <x:v>7</x:v>
      </x:c>
      <x:c r="K6" s="18" t="n">
        <x:v>8</x:v>
      </x:c>
      <x:c r="L6" s="18" t="n">
        <x:v>9</x:v>
      </x:c>
      <x:c r="M6" s="19" t="n">
        <x:v>10</x:v>
      </x:c>
    </x:row>
    <x:row r="7" ht="20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20" customHeight="1">
      <x:c r="A8" s="2"/>
      <x:c r="B8" s="2"/>
      <x:c r="C8" s="2" t="str">
        <x:v>Opening face: 1-year zero</x:v>
      </x:c>
      <x:c r="D8" s="21" t="n">
        <x:f>INDEX('Sources'!$H$8:$K$12,1,'Controls'!$F$4)</x:f>
        <x:v>25058322.544199433</x:v>
      </x:c>
      <x:c r="E8" s="21" t="n">
        <x:f>D32</x:f>
        <x:v>0</x:v>
      </x:c>
      <x:c r="F8" s="21" t="n">
        <x:f>E32</x:f>
        <x:v>0</x:v>
      </x:c>
      <x:c r="G8" s="21" t="n">
        <x:f>F32</x:f>
        <x:v>0</x:v>
      </x:c>
      <x:c r="H8" s="21" t="n">
        <x:f>G32</x:f>
        <x:v>0</x:v>
      </x:c>
      <x:c r="I8" s="21" t="n">
        <x:f>H32</x:f>
        <x:v>0</x:v>
      </x:c>
      <x:c r="J8" s="21" t="n">
        <x:f>I32</x:f>
        <x:v>0</x:v>
      </x:c>
      <x:c r="K8" s="21" t="n">
        <x:f>J32</x:f>
        <x:v>0</x:v>
      </x:c>
      <x:c r="L8" s="21" t="n">
        <x:f>K32</x:f>
        <x:v>0</x:v>
      </x:c>
      <x:c r="M8" s="21" t="n">
        <x:f>L32</x:f>
        <x:v>0</x:v>
      </x:c>
    </x:row>
    <x:row r="9" ht="20" customHeight="1">
      <x:c r="A9" s="2"/>
      <x:c r="B9" s="2"/>
      <x:c r="C9" s="2" t="str">
        <x:v>Opening face: 5-year zero</x:v>
      </x:c>
      <x:c r="D9" s="21" t="n">
        <x:f>INDEX('Sources'!$H$8:$K$12,2,'Controls'!$F$4)</x:f>
        <x:v>50493885.382218294</x:v>
      </x:c>
      <x:c r="E9" s="21" t="n">
        <x:f>D33</x:f>
        <x:v>50493885.382218294</x:v>
      </x:c>
      <x:c r="F9" s="21" t="n">
        <x:f>E33</x:f>
        <x:v>50493885.382218294</x:v>
      </x:c>
      <x:c r="G9" s="21" t="n">
        <x:f>F33</x:f>
        <x:v>46466096.51324775</x:v>
      </x:c>
      <x:c r="H9" s="21" t="n">
        <x:f>G33</x:f>
        <x:v>41662064.18381392</x:v>
      </x:c>
      <x:c r="I9" s="21" t="n">
        <x:f>H33</x:f>
        <x:v>0</x:v>
      </x:c>
      <x:c r="J9" s="21" t="n">
        <x:f>I33</x:f>
        <x:v>0</x:v>
      </x:c>
      <x:c r="K9" s="21" t="n">
        <x:f>J33</x:f>
        <x:v>0</x:v>
      </x:c>
      <x:c r="L9" s="21" t="n">
        <x:f>K33</x:f>
        <x:v>0</x:v>
      </x:c>
      <x:c r="M9" s="21" t="n">
        <x:f>L33</x:f>
        <x:v>0</x:v>
      </x:c>
    </x:row>
    <x:row r="10" ht="20" customHeight="1">
      <x:c r="A10" s="2"/>
      <x:c r="B10" s="2"/>
      <x:c r="C10" s="2" t="str">
        <x:v>Opening face: 10-year zero</x:v>
      </x:c>
      <x:c r="D10" s="21" t="n">
        <x:f>INDEX('Sources'!$H$8:$K$12,3,'Controls'!$F$4)</x:f>
        <x:v>64376735.237813994</x:v>
      </x:c>
      <x:c r="E10" s="21" t="n">
        <x:f>D34</x:f>
        <x:v>64376735.237813994</x:v>
      </x:c>
      <x:c r="F10" s="21" t="n">
        <x:f>E34</x:f>
        <x:v>64376735.237813994</x:v>
      </x:c>
      <x:c r="G10" s="21" t="n">
        <x:f>F34</x:f>
        <x:v>59241541.23068292</x:v>
      </x:c>
      <x:c r="H10" s="21" t="n">
        <x:f>G34</x:f>
        <x:v>53116682.44818228</x:v>
      </x:c>
      <x:c r="I10" s="21" t="n">
        <x:f>H34</x:f>
        <x:v>53116682.44818228</x:v>
      </x:c>
      <x:c r="J10" s="21" t="n">
        <x:f>I34</x:f>
        <x:v>53116682.44818228</x:v>
      </x:c>
      <x:c r="K10" s="21" t="n">
        <x:f>J34</x:f>
        <x:v>53116682.44818228</x:v>
      </x:c>
      <x:c r="L10" s="21" t="n">
        <x:f>K34</x:f>
        <x:v>53116682.44818228</x:v>
      </x:c>
      <x:c r="M10" s="21" t="n">
        <x:f>L34</x:f>
        <x:v>49068048.67105107</x:v>
      </x:c>
    </x:row>
    <x:row r="11" ht="20" customHeight="1">
      <x:c r="A11" s="2"/>
      <x:c r="B11" s="2"/>
      <x:c r="C11" s="2" t="str">
        <x:v>Opening face: 20-year zero</x:v>
      </x:c>
      <x:c r="D11" s="21" t="n">
        <x:f>INDEX('Sources'!$H$8:$K$12,4,'Controls'!$F$4)</x:f>
        <x:v>48321974.81880257</x:v>
      </x:c>
      <x:c r="E11" s="21" t="n">
        <x:f>D35</x:f>
        <x:v>48321974.81880257</x:v>
      </x:c>
      <x:c r="F11" s="21" t="n">
        <x:f>E35</x:f>
        <x:v>48321974.81880257</x:v>
      </x:c>
      <x:c r="G11" s="21" t="n">
        <x:f>F35</x:f>
        <x:v>44467434.594207615</x:v>
      </x:c>
      <x:c r="H11" s="21" t="n">
        <x:f>G35</x:f>
        <x:v>39870039.731554314</x:v>
      </x:c>
      <x:c r="I11" s="21" t="n">
        <x:f>H35</x:f>
        <x:v>39870039.731554314</x:v>
      </x:c>
      <x:c r="J11" s="21" t="n">
        <x:f>I35</x:f>
        <x:v>39870039.731554314</x:v>
      </x:c>
      <x:c r="K11" s="21" t="n">
        <x:f>J35</x:f>
        <x:v>39870039.731554314</x:v>
      </x:c>
      <x:c r="L11" s="21" t="n">
        <x:f>K35</x:f>
        <x:v>39870039.731554314</x:v>
      </x:c>
      <x:c r="M11" s="21" t="n">
        <x:f>L35</x:f>
        <x:v>36831085.07337878</x:v>
      </x:c>
    </x:row>
    <x:row r="12" ht="20" customHeight="1">
      <x:c r="A12" s="2"/>
      <x:c r="B12" s="2"/>
      <x:c r="C12" s="2" t="str">
        <x:v>Opening face: 30-year zero</x:v>
      </x:c>
      <x:c r="D12" s="21" t="n">
        <x:f>INDEX('Sources'!$H$8:$K$12,5,'Controls'!$F$4)</x:f>
        <x:v>15916632.106992751</x:v>
      </x:c>
      <x:c r="E12" s="21" t="n">
        <x:f>D36</x:f>
        <x:v>15916632.106992751</x:v>
      </x:c>
      <x:c r="F12" s="21" t="n">
        <x:f>E36</x:f>
        <x:v>15916632.106992751</x:v>
      </x:c>
      <x:c r="G12" s="21" t="n">
        <x:f>F36</x:f>
        <x:v>14646996.523460872</x:v>
      </x:c>
      <x:c r="H12" s="21" t="n">
        <x:f>G36</x:f>
        <x:v>13132674.251785878</x:v>
      </x:c>
      <x:c r="I12" s="21" t="n">
        <x:f>H36</x:f>
        <x:v>13132674.251785878</x:v>
      </x:c>
      <x:c r="J12" s="21" t="n">
        <x:f>I36</x:f>
        <x:v>13132674.251785878</x:v>
      </x:c>
      <x:c r="K12" s="21" t="n">
        <x:f>J36</x:f>
        <x:v>13132674.251785878</x:v>
      </x:c>
      <x:c r="L12" s="21" t="n">
        <x:f>K36</x:f>
        <x:v>13132674.251785878</x:v>
      </x:c>
      <x:c r="M12" s="21" t="n">
        <x:f>L36</x:f>
        <x:v>12131681.981387388</x:v>
      </x:c>
    </x:row>
    <x:row r="13" ht="20" customHeight="1">
      <x:c r="A13" s="2"/>
      <x:c r="B13" s="2"/>
      <x:c r="C13" s="2"/>
      <x:c r="D13" s="21"/>
      <x:c r="E13" s="21"/>
      <x:c r="F13" s="21"/>
      <x:c r="G13" s="21"/>
      <x:c r="H13" s="21"/>
      <x:c r="I13" s="21"/>
      <x:c r="J13" s="21"/>
      <x:c r="K13" s="21"/>
      <x:c r="L13" s="21"/>
      <x:c r="M13" s="21"/>
    </x:row>
    <x:row r="14" ht="20" customHeight="1">
      <x:c r="A14" s="2"/>
      <x:c r="B14" s="2"/>
      <x:c r="C14" s="2" t="str">
        <x:v>Opening cash</x:v>
      </x:c>
      <x:c r="D14" s="21" t="n">
        <x:f>0</x:f>
        <x:v>0</x:v>
      </x:c>
      <x:c r="E14" s="21" t="n">
        <x:f>D29</x:f>
        <x:v>13263144.544199433</x:v>
      </x:c>
      <x:c r="F14" s="21" t="n">
        <x:f>E29</x:f>
        <x:v>2382894.580577925</x:v>
      </x:c>
      <x:c r="G14" s="21" t="n">
        <x:f>F29</x:f>
        <x:v>0</x:v>
      </x:c>
      <x:c r="H14" s="21" t="n">
        <x:f>G29</x:f>
        <x:v>0</x:v>
      </x:c>
      <x:c r="I14" s="21" t="n">
        <x:f>H29</x:f>
        <x:v>30832909.327726893</x:v>
      </x:c>
      <x:c r="J14" s="21" t="n">
        <x:f>I29</x:f>
        <x:v>21944902.58680413</x:v>
      </x:c>
      <x:c r="K14" s="21" t="n">
        <x:f>J29</x:f>
        <x:v>12907635.0607346</x:v>
      </x:c>
      <x:c r="L14" s="21" t="n">
        <x:f>K29</x:f>
        <x:v>3713938.077770112</x:v>
      </x:c>
      <x:c r="M14" s="21" t="n">
        <x:f>L29</x:f>
        <x:v>0</x:v>
      </x:c>
    </x:row>
    <x:row r="15" ht="20" customHeight="1">
      <x:c r="A15" s="2"/>
      <x:c r="B15" s="2"/>
      <x:c r="C15" s="2" t="str">
        <x:v>Base forward cash interest</x:v>
      </x:c>
      <x:c r="D15" s="21" t="n">
        <x:f>D14*(INDEX('Curve'!$J$6:$J$126,D$6)/D46-1)</x:f>
        <x:v>0</x:v>
      </x:c>
      <x:c r="E15" s="21" t="n">
        <x:f>E14*(INDEX('Curve'!$J$6:$J$126,E$6)/E46-1)</x:f>
        <x:v>696705.6196894912</x:v>
      </x:c>
      <x:c r="F15" s="21" t="n">
        <x:f>F14*(INDEX('Curve'!$J$6:$J$126,F$6)/F46-1)</x:f>
        <x:v>127039.73984009518</x:v>
      </x:c>
      <x:c r="G15" s="21" t="n">
        <x:f>G14*(INDEX('Curve'!$J$6:$J$126,G$6)/G46-1)</x:f>
        <x:v>0</x:v>
      </x:c>
      <x:c r="H15" s="21" t="n">
        <x:f>H14*(INDEX('Curve'!$J$6:$J$126,H$6)/H46-1)</x:f>
        <x:v>0</x:v>
      </x:c>
      <x:c r="I15" s="21" t="n">
        <x:f>I14*(INDEX('Curve'!$J$6:$J$126,I$6)/I46-1)</x:f>
        <x:v>1658586.4338814628</x:v>
      </x:c>
      <x:c r="J15" s="21" t="n">
        <x:f>J14*(INDEX('Curve'!$J$6:$J$126,J$6)/J46-1)</x:f>
        <x:v>1208643.4145138445</x:v>
      </x:c>
      <x:c r="K15" s="21" t="n">
        <x:f>K14*(INDEX('Curve'!$J$6:$J$126,K$6)/K46-1)</x:f>
        <x:v>731740.4633904485</x:v>
      </x:c>
      <x:c r="L15" s="21" t="n">
        <x:f>L14*(INDEX('Curve'!$J$6:$J$126,L$6)/L46-1)</x:f>
        <x:v>216955.81119744517</x:v>
      </x:c>
      <x:c r="M15" s="21" t="n">
        <x:f>M14*(INDEX('Curve'!$J$6:$J$126,M$6)/M46-1)</x:f>
        <x:v>0</x:v>
      </x:c>
    </x:row>
    <x:row r="16" ht="20" customHeight="1">
      <x:c r="A16" s="2"/>
      <x:c r="B16" s="2"/>
      <x:c r="C16" s="2" t="str">
        <x:v>Extra reinvestment interest</x:v>
      </x:c>
      <x:c r="D16" s="21" t="n">
        <x:f>D14*INDEX('Curve'!$J$6:$J$126,D$6)/D46*(EXP('Controls'!$F$16)-1)</x:f>
        <x:v>0</x:v>
      </x:c>
      <x:c r="E16" s="21" t="n">
        <x:f>E14*INDEX('Curve'!$J$6:$J$126,E$6)/E46*(EXP('Controls'!$F$16)-1)</x:f>
        <x:v>0</x:v>
      </x:c>
      <x:c r="F16" s="21" t="n">
        <x:f>F14*INDEX('Curve'!$J$6:$J$126,F$6)/F46*(EXP('Controls'!$F$16)-1)</x:f>
        <x:v>0</x:v>
      </x:c>
      <x:c r="G16" s="21" t="n">
        <x:f>G14*INDEX('Curve'!$J$6:$J$126,G$6)/G46*(EXP('Controls'!$F$16)-1)</x:f>
        <x:v>0</x:v>
      </x:c>
      <x:c r="H16" s="21" t="n">
        <x:f>H14*INDEX('Curve'!$J$6:$J$126,H$6)/H46*(EXP('Controls'!$F$16)-1)</x:f>
        <x:v>0</x:v>
      </x:c>
      <x:c r="I16" s="21" t="n">
        <x:f>I14*INDEX('Curve'!$J$6:$J$126,I$6)/I46*(EXP('Controls'!$F$16)-1)</x:f>
        <x:v>0</x:v>
      </x:c>
      <x:c r="J16" s="21" t="n">
        <x:f>J14*INDEX('Curve'!$J$6:$J$126,J$6)/J46*(EXP('Controls'!$F$16)-1)</x:f>
        <x:v>0</x:v>
      </x:c>
      <x:c r="K16" s="21" t="n">
        <x:f>K14*INDEX('Curve'!$J$6:$J$126,K$6)/K46*(EXP('Controls'!$F$16)-1)</x:f>
        <x:v>0</x:v>
      </x:c>
      <x:c r="L16" s="21" t="n">
        <x:f>L14*INDEX('Curve'!$J$6:$J$126,L$6)/L46*(EXP('Controls'!$F$16)-1)</x:f>
        <x:v>0</x:v>
      </x:c>
      <x:c r="M16" s="21" t="n">
        <x:f>M14*INDEX('Curve'!$J$6:$J$126,M$6)/M46*(EXP('Controls'!$F$16)-1)</x:f>
        <x:v>0</x:v>
      </x:c>
    </x:row>
    <x:row r="17" ht="20" customHeight="1">
      <x:c r="A17" s="2"/>
      <x:c r="B17" s="2"/>
      <x:c r="C17" s="2"/>
      <x:c r="D17" s="21"/>
      <x:c r="E17" s="21"/>
      <x:c r="F17" s="21"/>
      <x:c r="G17" s="21"/>
      <x:c r="H17" s="21"/>
      <x:c r="I17" s="21"/>
      <x:c r="J17" s="21"/>
      <x:c r="K17" s="21"/>
      <x:c r="L17" s="21"/>
      <x:c r="M17" s="21"/>
    </x:row>
    <x:row r="18" ht="20" customHeight="1">
      <x:c r="A18" s="2"/>
      <x:c r="B18" s="2"/>
      <x:c r="C18" s="2" t="str">
        <x:v>Maturing face amounts</x:v>
      </x:c>
      <x:c r="D18" s="21" t="n">
        <x:f>SUMIFS(D8:D12,'Sources'!$G$8:$G$12,D$6)</x:f>
        <x:v>25058322.544199433</x:v>
      </x:c>
      <x:c r="E18" s="21" t="n">
        <x:f>SUMIFS(E8:E12,'Sources'!$G$8:$G$12,E$6)</x:f>
        <x:v>0</x:v>
      </x:c>
      <x:c r="F18" s="21" t="n">
        <x:f>SUMIFS(F8:F12,'Sources'!$G$8:$G$12,F$6)</x:f>
        <x:v>0</x:v>
      </x:c>
      <x:c r="G18" s="21" t="n">
        <x:f>SUMIFS(G8:G12,'Sources'!$G$8:$G$12,G$6)</x:f>
        <x:v>0</x:v>
      </x:c>
      <x:c r="H18" s="21" t="n">
        <x:f>SUMIFS(H8:H12,'Sources'!$G$8:$G$12,H$6)</x:f>
        <x:v>41662064.18381392</x:v>
      </x:c>
      <x:c r="I18" s="21" t="n">
        <x:f>SUMIFS(I8:I12,'Sources'!$G$8:$G$12,I$6)</x:f>
        <x:v>0</x:v>
      </x:c>
      <x:c r="J18" s="21" t="n">
        <x:f>SUMIFS(J8:J12,'Sources'!$G$8:$G$12,J$6)</x:f>
        <x:v>0</x:v>
      </x:c>
      <x:c r="K18" s="21" t="n">
        <x:f>SUMIFS(K8:K12,'Sources'!$G$8:$G$12,K$6)</x:f>
        <x:v>0</x:v>
      </x:c>
      <x:c r="L18" s="21" t="n">
        <x:f>SUMIFS(L8:L12,'Sources'!$G$8:$G$12,L$6)</x:f>
        <x:v>0</x:v>
      </x:c>
      <x:c r="M18" s="21" t="n">
        <x:f>SUMIFS(M8:M12,'Sources'!$G$8:$G$12,M$6)</x:f>
        <x:v>49068048.67105107</x:v>
      </x:c>
    </x:row>
    <x:row r="19" ht="20" customHeight="1">
      <x:c r="A19" s="2"/>
      <x:c r="B19" s="2"/>
      <x:c r="C19" s="56" t="str">
        <x:v>Cash before bond sales</x:v>
      </x:c>
      <x:c r="D19" s="57" t="n">
        <x:f>SUM(D14:D16,D18)</x:f>
        <x:v>25058322.544199433</x:v>
      </x:c>
      <x:c r="E19" s="57" t="n">
        <x:f>SUM(E14:E16,E18)</x:f>
        <x:v>13959850.163888924</x:v>
      </x:c>
      <x:c r="F19" s="57" t="n">
        <x:f>SUM(F14:F16,F18)</x:f>
        <x:v>2509934.3204180202</x:v>
      </x:c>
      <x:c r="G19" s="57" t="n">
        <x:f>SUM(G14:G16,G18)</x:f>
        <x:v>0</x:v>
      </x:c>
      <x:c r="H19" s="57" t="n">
        <x:f>SUM(H14:H16,H18)</x:f>
        <x:v>41662064.18381392</x:v>
      </x:c>
      <x:c r="I19" s="57" t="n">
        <x:f>SUM(I14:I16,I18)</x:f>
        <x:v>32491495.761608355</x:v>
      </x:c>
      <x:c r="J19" s="57" t="n">
        <x:f>SUM(J14:J16,J18)</x:f>
        <x:v>23153546.001317974</x:v>
      </x:c>
      <x:c r="K19" s="57" t="n">
        <x:f>SUM(K14:K16,K18)</x:f>
        <x:v>13639375.524125049</x:v>
      </x:c>
      <x:c r="L19" s="57" t="n">
        <x:f>SUM(L14:L16,L18)</x:f>
        <x:v>3930893.8889675573</x:v>
      </x:c>
      <x:c r="M19" s="57" t="n">
        <x:f>SUM(M14:M16,M18)</x:f>
        <x:v>49068048.67105107</x:v>
      </x:c>
    </x:row>
    <x:row r="20" ht="20" customHeight="1">
      <x:c r="A20" s="2"/>
      <x:c r="B20" s="2"/>
      <x:c r="C20" s="2"/>
      <x:c r="D20" s="21"/>
      <x:c r="E20" s="21"/>
      <x:c r="F20" s="21"/>
      <x:c r="G20" s="21"/>
      <x:c r="H20" s="21"/>
      <x:c r="I20" s="21"/>
      <x:c r="J20" s="21"/>
      <x:c r="K20" s="21"/>
      <x:c r="L20" s="21"/>
      <x:c r="M20" s="21"/>
    </x:row>
    <x:row r="21" ht="20" customHeight="1">
      <x:c r="A21" s="2"/>
      <x:c r="B21" s="2"/>
      <x:c r="C21" s="2" t="str">
        <x:v>Benefits due</x:v>
      </x:c>
      <x:c r="D21" s="21" t="n">
        <x:f>INDEX('Benefits'!$L$6:$L$125,D$6)</x:f>
        <x:v>11795178</x:v>
      </x:c>
      <x:c r="E21" s="21" t="n">
        <x:f>INDEX('Benefits'!$L$6:$L$125,E$6)</x:f>
        <x:v>11576955.583310999</x:v>
      </x:c>
      <x:c r="F21" s="21" t="n">
        <x:f>INDEX('Benefits'!$L$6:$L$125,F$6)</x:f>
        <x:v>11343598.458840035</x:v>
      </x:c>
      <x:c r="G21" s="21" t="n">
        <x:f>INDEX('Benefits'!$L$6:$L$125,G$6)</x:f>
        <x:v>11094651.617630769</x:v>
      </x:c>
      <x:c r="H21" s="21" t="n">
        <x:f>INDEX('Benefits'!$L$6:$L$125,H$6)</x:f>
        <x:v>10829154.856087027</x:v>
      </x:c>
      <x:c r="I21" s="21" t="n">
        <x:f>INDEX('Benefits'!$L$6:$L$125,I$6)</x:f>
        <x:v>10546593.174804227</x:v>
      </x:c>
      <x:c r="J21" s="21" t="n">
        <x:f>INDEX('Benefits'!$L$6:$L$125,J$6)</x:f>
        <x:v>10245910.940583374</x:v>
      </x:c>
      <x:c r="K21" s="21" t="n">
        <x:f>INDEX('Benefits'!$L$6:$L$125,K$6)</x:f>
        <x:v>9925437.446354937</x:v>
      </x:c>
      <x:c r="L21" s="21" t="n">
        <x:f>INDEX('Benefits'!$L$6:$L$125,L$6)</x:f>
        <x:v>9585541.92554659</x:v>
      </x:c>
      <x:c r="M21" s="21" t="n">
        <x:f>INDEX('Benefits'!$L$6:$L$125,M$6)</x:f>
        <x:v>9225577.78162552</x:v>
      </x:c>
    </x:row>
    <x:row r="22" ht="20" customHeight="1">
      <x:c r="A22" s="2"/>
      <x:c r="B22" s="2"/>
      <x:c r="C22" s="2" t="str">
        <x:v>Available bond market value</x:v>
      </x:c>
      <x:c r="D22" s="21" t="n">
        <x:f>SUMPRODUCT(D8:D12,D54:D58)</x:f>
        <x:v>99889811.56761687</x:v>
      </x:c>
      <x:c r="E22" s="21" t="n">
        <x:f>SUMPRODUCT(E8:E12,E54:E58)</x:f>
        <x:v>105136967.91405956</x:v>
      </x:c>
      <x:c r="F22" s="21" t="n">
        <x:f>SUMPRODUCT(F8:F12,F54:F58)</x:f>
        <x:v>110742156.30982116</x:v>
      </x:c>
      <x:c r="G22" s="21" t="n">
        <x:f>SUMPRODUCT(G8:G12,G54:G58)</x:f>
        <x:v>107310924.96757789</x:v>
      </x:c>
      <x:c r="H22" s="21" t="n">
        <x:f>SUMPRODUCT(H8:H12,H54:H58)</x:f>
        <x:v>59660171.93356446</x:v>
      </x:c>
      <x:c r="I22" s="21" t="n">
        <x:f>SUMPRODUCT(I8:I12,I54:I58)</x:f>
        <x:v>62869455.58436359</x:v>
      </x:c>
      <x:c r="J22" s="21" t="n">
        <x:f>SUMPRODUCT(J8:J12,J54:J58)</x:f>
        <x:v>66332070.79377463</x:v>
      </x:c>
      <x:c r="K22" s="21" t="n">
        <x:f>SUMPRODUCT(K8:K12,K54:K58)</x:f>
        <x:v>70092469.96774401</x:v>
      </x:c>
      <x:c r="L22" s="21" t="n">
        <x:f>SUMPRODUCT(L8:L12,L54:L58)</x:f>
        <x:v>74187037.07205473</x:v>
      </x:c>
      <x:c r="M22" s="21" t="n">
        <x:f>SUMPRODUCT(M8:M12,M54:M58)</x:f>
        <x:v>23582110.12970477</x:v>
      </x:c>
    </x:row>
    <x:row r="23" ht="20" customHeight="1">
      <x:c r="A23" s="2"/>
      <x:c r="B23" s="2"/>
      <x:c r="C23" s="2" t="str">
        <x:v>Cash needed from sales</x:v>
      </x:c>
      <x:c r="D23" s="21" t="n">
        <x:f>MAX(D21-D19,0)</x:f>
        <x:v>0</x:v>
      </x:c>
      <x:c r="E23" s="21" t="n">
        <x:f>MAX(E21-E19,0)</x:f>
        <x:v>0</x:v>
      </x:c>
      <x:c r="F23" s="21" t="n">
        <x:f>MAX(F21-F19,0)</x:f>
        <x:v>8833664.138422014</x:v>
      </x:c>
      <x:c r="G23" s="21" t="n">
        <x:f>MAX(G21-G19,0)</x:f>
        <x:v>11094651.617630769</x:v>
      </x:c>
      <x:c r="H23" s="21" t="n">
        <x:f>MAX(H21-H19,0)</x:f>
        <x:v>0</x:v>
      </x:c>
      <x:c r="I23" s="21" t="n">
        <x:f>MAX(I21-I19,0)</x:f>
        <x:v>0</x:v>
      </x:c>
      <x:c r="J23" s="21" t="n">
        <x:f>MAX(J21-J19,0)</x:f>
        <x:v>0</x:v>
      </x:c>
      <x:c r="K23" s="21" t="n">
        <x:f>MAX(K21-K19,0)</x:f>
        <x:v>0</x:v>
      </x:c>
      <x:c r="L23" s="21" t="n">
        <x:f>MAX(L21-L19,0)</x:f>
        <x:v>5654648.036579033</x:v>
      </x:c>
      <x:c r="M23" s="21" t="n">
        <x:f>MAX(M21-M19,0)</x:f>
        <x:v>0</x:v>
      </x:c>
    </x:row>
    <x:row r="24" ht="20" customHeight="1">
      <x:c r="A24" s="2"/>
      <x:c r="B24" s="2"/>
      <x:c r="C24" s="2" t="str">
        <x:v>Pro-rata sale fraction</x:v>
      </x:c>
      <x:c r="D24" s="45" t="n">
        <x:f>IF(D22&gt;0,MIN(D23/((1-'Controls'!$F$15)*D22),1),0)</x:f>
        <x:v>0</x:v>
      </x:c>
      <x:c r="E24" s="45" t="n">
        <x:f>IF(E22&gt;0,MIN(E23/((1-'Controls'!$F$15)*E22),1),0)</x:f>
        <x:v>0</x:v>
      </x:c>
      <x:c r="F24" s="45" t="n">
        <x:f>IF(F22&gt;0,MIN(F23/((1-'Controls'!$F$15)*F22),1),0)</x:f>
        <x:v>0.0797678538397631</x:v>
      </x:c>
      <x:c r="G24" s="45" t="n">
        <x:f>IF(G22&gt;0,MIN(G23/((1-'Controls'!$F$15)*G22),1),0)</x:f>
        <x:v>0.10338790408323126</x:v>
      </x:c>
      <x:c r="H24" s="45" t="n">
        <x:f>IF(H22&gt;0,MIN(H23/((1-'Controls'!$F$15)*H22),1),0)</x:f>
        <x:v>0</x:v>
      </x:c>
      <x:c r="I24" s="45" t="n">
        <x:f>IF(I22&gt;0,MIN(I23/((1-'Controls'!$F$15)*I22),1),0)</x:f>
        <x:v>0</x:v>
      </x:c>
      <x:c r="J24" s="45" t="n">
        <x:f>IF(J22&gt;0,MIN(J23/((1-'Controls'!$F$15)*J22),1),0)</x:f>
        <x:v>0</x:v>
      </x:c>
      <x:c r="K24" s="45" t="n">
        <x:f>IF(K22&gt;0,MIN(K23/((1-'Controls'!$F$15)*K22),1),0)</x:f>
        <x:v>0</x:v>
      </x:c>
      <x:c r="L24" s="45" t="n">
        <x:f>IF(L22&gt;0,MIN(L23/((1-'Controls'!$F$15)*L22),1),0)</x:f>
        <x:v>0.07622151065403668</x:v>
      </x:c>
      <x:c r="M24" s="45" t="n">
        <x:f>IF(M22&gt;0,MIN(M23/((1-'Controls'!$F$15)*M22),1),0)</x:f>
        <x:v>0</x:v>
      </x:c>
    </x:row>
    <x:row r="25" ht="20" customHeight="1">
      <x:c r="A25" s="2"/>
      <x:c r="B25" s="2"/>
      <x:c r="C25" s="2" t="str">
        <x:v>Gross bond sales</x:v>
      </x:c>
      <x:c r="D25" s="21" t="n">
        <x:f>D22*D24</x:f>
        <x:v>0</x:v>
      </x:c>
      <x:c r="E25" s="21" t="n">
        <x:f>E22*E24</x:f>
        <x:v>0</x:v>
      </x:c>
      <x:c r="F25" s="21" t="n">
        <x:f>F22*F24</x:f>
        <x:v>8833664.138422014</x:v>
      </x:c>
      <x:c r="G25" s="21" t="n">
        <x:f>G22*G24</x:f>
        <x:v>11094651.617630769</x:v>
      </x:c>
      <x:c r="H25" s="21" t="n">
        <x:f>H22*H24</x:f>
        <x:v>0</x:v>
      </x:c>
      <x:c r="I25" s="21" t="n">
        <x:f>I22*I24</x:f>
        <x:v>0</x:v>
      </x:c>
      <x:c r="J25" s="21" t="n">
        <x:f>J22*J24</x:f>
        <x:v>0</x:v>
      </x:c>
      <x:c r="K25" s="21" t="n">
        <x:f>K22*K24</x:f>
        <x:v>0</x:v>
      </x:c>
      <x:c r="L25" s="21" t="n">
        <x:f>L22*L24</x:f>
        <x:v>5654648.036579033</x:v>
      </x:c>
      <x:c r="M25" s="21" t="n">
        <x:f>M22*M24</x:f>
        <x:v>0</x:v>
      </x:c>
    </x:row>
    <x:row r="26" ht="20" customHeight="1">
      <x:c r="A26" s="2"/>
      <x:c r="B26" s="2"/>
      <x:c r="C26" s="2" t="str">
        <x:v>Haircut loss</x:v>
      </x:c>
      <x:c r="D26" s="21" t="n">
        <x:f>D25*'Controls'!$F$15</x:f>
        <x:v>0</x:v>
      </x:c>
      <x:c r="E26" s="21" t="n">
        <x:f>E25*'Controls'!$F$15</x:f>
        <x:v>0</x:v>
      </x:c>
      <x:c r="F26" s="21" t="n">
        <x:f>F25*'Controls'!$F$15</x:f>
        <x:v>0</x:v>
      </x:c>
      <x:c r="G26" s="21" t="n">
        <x:f>G25*'Controls'!$F$15</x:f>
        <x:v>0</x:v>
      </x:c>
      <x:c r="H26" s="21" t="n">
        <x:f>H25*'Controls'!$F$15</x:f>
        <x:v>0</x:v>
      </x:c>
      <x:c r="I26" s="21" t="n">
        <x:f>I25*'Controls'!$F$15</x:f>
        <x:v>0</x:v>
      </x:c>
      <x:c r="J26" s="21" t="n">
        <x:f>J25*'Controls'!$F$15</x:f>
        <x:v>0</x:v>
      </x:c>
      <x:c r="K26" s="21" t="n">
        <x:f>K25*'Controls'!$F$15</x:f>
        <x:v>0</x:v>
      </x:c>
      <x:c r="L26" s="21" t="n">
        <x:f>L25*'Controls'!$F$15</x:f>
        <x:v>0</x:v>
      </x:c>
      <x:c r="M26" s="21" t="n">
        <x:f>M25*'Controls'!$F$15</x:f>
        <x:v>0</x:v>
      </x:c>
    </x:row>
    <x:row r="27" ht="20" customHeight="1">
      <x:c r="A27" s="2"/>
      <x:c r="B27" s="2"/>
      <x:c r="C27" s="2" t="str">
        <x:v>Benefits paid</x:v>
      </x:c>
      <x:c r="D27" s="21" t="n">
        <x:f>MIN(D21,D19+D25-D26)</x:f>
        <x:v>11795178</x:v>
      </x:c>
      <x:c r="E27" s="21" t="n">
        <x:f>MIN(E21,E19+E25-E26)</x:f>
        <x:v>11576955.583310999</x:v>
      </x:c>
      <x:c r="F27" s="21" t="n">
        <x:f>MIN(F21,F19+F25-F26)</x:f>
        <x:v>11343598.458840035</x:v>
      </x:c>
      <x:c r="G27" s="21" t="n">
        <x:f>MIN(G21,G19+G25-G26)</x:f>
        <x:v>11094651.617630769</x:v>
      </x:c>
      <x:c r="H27" s="21" t="n">
        <x:f>MIN(H21,H19+H25-H26)</x:f>
        <x:v>10829154.856087027</x:v>
      </x:c>
      <x:c r="I27" s="21" t="n">
        <x:f>MIN(I21,I19+I25-I26)</x:f>
        <x:v>10546593.174804227</x:v>
      </x:c>
      <x:c r="J27" s="21" t="n">
        <x:f>MIN(J21,J19+J25-J26)</x:f>
        <x:v>10245910.940583374</x:v>
      </x:c>
      <x:c r="K27" s="21" t="n">
        <x:f>MIN(K21,K19+K25-K26)</x:f>
        <x:v>9925437.446354937</x:v>
      </x:c>
      <x:c r="L27" s="21" t="n">
        <x:f>MIN(L21,L19+L25-L26)</x:f>
        <x:v>9585541.92554659</x:v>
      </x:c>
      <x:c r="M27" s="21" t="n">
        <x:f>MIN(M21,M19+M25-M26)</x:f>
        <x:v>9225577.78162552</x:v>
      </x:c>
    </x:row>
    <x:row r="28" ht="20" customHeight="1">
      <x:c r="A28" s="2"/>
      <x:c r="B28" s="2"/>
      <x:c r="C28" s="2" t="str">
        <x:v>Unpaid benefits</x:v>
      </x:c>
      <x:c r="D28" s="21" t="n">
        <x:f>MAX(D21-D27,0)</x:f>
        <x:v>0</x:v>
      </x:c>
      <x:c r="E28" s="21" t="n">
        <x:f>MAX(E21-E27,0)</x:f>
        <x:v>0</x:v>
      </x:c>
      <x:c r="F28" s="21" t="n">
        <x:f>MAX(F21-F27,0)</x:f>
        <x:v>0</x:v>
      </x:c>
      <x:c r="G28" s="21" t="n">
        <x:f>MAX(G21-G27,0)</x:f>
        <x:v>0</x:v>
      </x:c>
      <x:c r="H28" s="21" t="n">
        <x:f>MAX(H21-H27,0)</x:f>
        <x:v>0</x:v>
      </x:c>
      <x:c r="I28" s="21" t="n">
        <x:f>MAX(I21-I27,0)</x:f>
        <x:v>0</x:v>
      </x:c>
      <x:c r="J28" s="21" t="n">
        <x:f>MAX(J21-J27,0)</x:f>
        <x:v>0</x:v>
      </x:c>
      <x:c r="K28" s="21" t="n">
        <x:f>MAX(K21-K27,0)</x:f>
        <x:v>0</x:v>
      </x:c>
      <x:c r="L28" s="21" t="n">
        <x:f>MAX(L21-L27,0)</x:f>
        <x:v>0</x:v>
      </x:c>
      <x:c r="M28" s="21" t="n">
        <x:f>MAX(M21-M27,0)</x:f>
        <x:v>0</x:v>
      </x:c>
    </x:row>
    <x:row r="29" ht="20" customHeight="1">
      <x:c r="A29" s="2"/>
      <x:c r="B29" s="2"/>
      <x:c r="C29" s="56" t="str">
        <x:v>Closing cash</x:v>
      </x:c>
      <x:c r="D29" s="57" t="n">
        <x:f>MAX(D19+D25-D26-D27,0)</x:f>
        <x:v>13263144.544199433</x:v>
      </x:c>
      <x:c r="E29" s="57" t="n">
        <x:f>MAX(E19+E25-E26-E27,0)</x:f>
        <x:v>2382894.580577925</x:v>
      </x:c>
      <x:c r="F29" s="57" t="n">
        <x:f>MAX(F19+F25-F26-F27,0)</x:f>
        <x:v>0</x:v>
      </x:c>
      <x:c r="G29" s="57" t="n">
        <x:f>MAX(G19+G25-G26-G27,0)</x:f>
        <x:v>0</x:v>
      </x:c>
      <x:c r="H29" s="57" t="n">
        <x:f>MAX(H19+H25-H26-H27,0)</x:f>
        <x:v>30832909.327726893</x:v>
      </x:c>
      <x:c r="I29" s="57" t="n">
        <x:f>MAX(I19+I25-I26-I27,0)</x:f>
        <x:v>21944902.58680413</x:v>
      </x:c>
      <x:c r="J29" s="57" t="n">
        <x:f>MAX(J19+J25-J26-J27,0)</x:f>
        <x:v>12907635.0607346</x:v>
      </x:c>
      <x:c r="K29" s="57" t="n">
        <x:f>MAX(K19+K25-K26-K27,0)</x:f>
        <x:v>3713938.077770112</x:v>
      </x:c>
      <x:c r="L29" s="57" t="n">
        <x:f>MAX(L19+L25-L26-L27,0)</x:f>
        <x:v>0</x:v>
      </x:c>
      <x:c r="M29" s="57" t="n">
        <x:f>MAX(M19+M25-M26-M27,0)</x:f>
        <x:v>39842470.889425546</x:v>
      </x:c>
    </x:row>
    <x:row r="30" ht="20" customHeight="1">
      <x:c r="A30" s="2"/>
      <x:c r="B30" s="2"/>
      <x:c r="C30" s="2"/>
      <x:c r="D30" s="21"/>
      <x:c r="E30" s="21"/>
      <x:c r="F30" s="21"/>
      <x:c r="G30" s="21"/>
      <x:c r="H30" s="21"/>
      <x:c r="I30" s="21"/>
      <x:c r="J30" s="21"/>
      <x:c r="K30" s="21"/>
      <x:c r="L30" s="21"/>
      <x:c r="M30" s="21"/>
    </x:row>
    <x:row r="31" ht="20" customHeight="1">
      <x:c r="A31" s="2"/>
      <x:c r="B31" s="2"/>
      <x:c r="C31" s="2"/>
      <x:c r="D31" s="21"/>
      <x:c r="E31" s="21"/>
      <x:c r="F31" s="21"/>
      <x:c r="G31" s="21"/>
      <x:c r="H31" s="21"/>
      <x:c r="I31" s="21"/>
      <x:c r="J31" s="21"/>
      <x:c r="K31" s="21"/>
      <x:c r="L31" s="21"/>
      <x:c r="M31" s="21"/>
    </x:row>
    <x:row r="32" ht="20" customHeight="1">
      <x:c r="A32" s="2"/>
      <x:c r="B32" s="2"/>
      <x:c r="C32" s="2" t="str">
        <x:v>Closing face: 1-year zero</x:v>
      </x:c>
      <x:c r="D32" s="21" t="n">
        <x:f>IF('Sources'!$G$8&lt;=D$6,0,D8*(1-D24))</x:f>
        <x:v>0</x:v>
      </x:c>
      <x:c r="E32" s="21" t="n">
        <x:f>IF('Sources'!$G$8&lt;=E$6,0,E8*(1-E24))</x:f>
        <x:v>0</x:v>
      </x:c>
      <x:c r="F32" s="21" t="n">
        <x:f>IF('Sources'!$G$8&lt;=F$6,0,F8*(1-F24))</x:f>
        <x:v>0</x:v>
      </x:c>
      <x:c r="G32" s="21" t="n">
        <x:f>IF('Sources'!$G$8&lt;=G$6,0,G8*(1-G24))</x:f>
        <x:v>0</x:v>
      </x:c>
      <x:c r="H32" s="21" t="n">
        <x:f>IF('Sources'!$G$8&lt;=H$6,0,H8*(1-H24))</x:f>
        <x:v>0</x:v>
      </x:c>
      <x:c r="I32" s="21" t="n">
        <x:f>IF('Sources'!$G$8&lt;=I$6,0,I8*(1-I24))</x:f>
        <x:v>0</x:v>
      </x:c>
      <x:c r="J32" s="21" t="n">
        <x:f>IF('Sources'!$G$8&lt;=J$6,0,J8*(1-J24))</x:f>
        <x:v>0</x:v>
      </x:c>
      <x:c r="K32" s="21" t="n">
        <x:f>IF('Sources'!$G$8&lt;=K$6,0,K8*(1-K24))</x:f>
        <x:v>0</x:v>
      </x:c>
      <x:c r="L32" s="21" t="n">
        <x:f>IF('Sources'!$G$8&lt;=L$6,0,L8*(1-L24))</x:f>
        <x:v>0</x:v>
      </x:c>
      <x:c r="M32" s="21" t="n">
        <x:f>IF('Sources'!$G$8&lt;=M$6,0,M8*(1-M24))</x:f>
        <x:v>0</x:v>
      </x:c>
    </x:row>
    <x:row r="33" ht="20" customHeight="1">
      <x:c r="A33" s="2"/>
      <x:c r="B33" s="2"/>
      <x:c r="C33" s="2" t="str">
        <x:v>Closing face: 5-year zero</x:v>
      </x:c>
      <x:c r="D33" s="21" t="n">
        <x:f>IF('Sources'!$G$9&lt;=D$6,0,D9*(1-D24))</x:f>
        <x:v>50493885.382218294</x:v>
      </x:c>
      <x:c r="E33" s="21" t="n">
        <x:f>IF('Sources'!$G$9&lt;=E$6,0,E9*(1-E24))</x:f>
        <x:v>50493885.382218294</x:v>
      </x:c>
      <x:c r="F33" s="21" t="n">
        <x:f>IF('Sources'!$G$9&lt;=F$6,0,F9*(1-F24))</x:f>
        <x:v>46466096.51324775</x:v>
      </x:c>
      <x:c r="G33" s="21" t="n">
        <x:f>IF('Sources'!$G$9&lt;=G$6,0,G9*(1-G24))</x:f>
        <x:v>41662064.18381392</x:v>
      </x:c>
      <x:c r="H33" s="21" t="n">
        <x:f>IF('Sources'!$G$9&lt;=H$6,0,H9*(1-H24))</x:f>
        <x:v>0</x:v>
      </x:c>
      <x:c r="I33" s="21" t="n">
        <x:f>IF('Sources'!$G$9&lt;=I$6,0,I9*(1-I24))</x:f>
        <x:v>0</x:v>
      </x:c>
      <x:c r="J33" s="21" t="n">
        <x:f>IF('Sources'!$G$9&lt;=J$6,0,J9*(1-J24))</x:f>
        <x:v>0</x:v>
      </x:c>
      <x:c r="K33" s="21" t="n">
        <x:f>IF('Sources'!$G$9&lt;=K$6,0,K9*(1-K24))</x:f>
        <x:v>0</x:v>
      </x:c>
      <x:c r="L33" s="21" t="n">
        <x:f>IF('Sources'!$G$9&lt;=L$6,0,L9*(1-L24))</x:f>
        <x:v>0</x:v>
      </x:c>
      <x:c r="M33" s="21" t="n">
        <x:f>IF('Sources'!$G$9&lt;=M$6,0,M9*(1-M24))</x:f>
        <x:v>0</x:v>
      </x:c>
    </x:row>
    <x:row r="34" ht="20" customHeight="1">
      <x:c r="A34" s="2"/>
      <x:c r="B34" s="2"/>
      <x:c r="C34" s="2" t="str">
        <x:v>Closing face: 10-year zero</x:v>
      </x:c>
      <x:c r="D34" s="21" t="n">
        <x:f>IF('Sources'!$G$10&lt;=D$6,0,D10*(1-D24))</x:f>
        <x:v>64376735.237813994</x:v>
      </x:c>
      <x:c r="E34" s="21" t="n">
        <x:f>IF('Sources'!$G$10&lt;=E$6,0,E10*(1-E24))</x:f>
        <x:v>64376735.237813994</x:v>
      </x:c>
      <x:c r="F34" s="21" t="n">
        <x:f>IF('Sources'!$G$10&lt;=F$6,0,F10*(1-F24))</x:f>
        <x:v>59241541.23068292</x:v>
      </x:c>
      <x:c r="G34" s="21" t="n">
        <x:f>IF('Sources'!$G$10&lt;=G$6,0,G10*(1-G24))</x:f>
        <x:v>53116682.44818228</x:v>
      </x:c>
      <x:c r="H34" s="21" t="n">
        <x:f>IF('Sources'!$G$10&lt;=H$6,0,H10*(1-H24))</x:f>
        <x:v>53116682.44818228</x:v>
      </x:c>
      <x:c r="I34" s="21" t="n">
        <x:f>IF('Sources'!$G$10&lt;=I$6,0,I10*(1-I24))</x:f>
        <x:v>53116682.44818228</x:v>
      </x:c>
      <x:c r="J34" s="21" t="n">
        <x:f>IF('Sources'!$G$10&lt;=J$6,0,J10*(1-J24))</x:f>
        <x:v>53116682.44818228</x:v>
      </x:c>
      <x:c r="K34" s="21" t="n">
        <x:f>IF('Sources'!$G$10&lt;=K$6,0,K10*(1-K24))</x:f>
        <x:v>53116682.44818228</x:v>
      </x:c>
      <x:c r="L34" s="21" t="n">
        <x:f>IF('Sources'!$G$10&lt;=L$6,0,L10*(1-L24))</x:f>
        <x:v>49068048.67105107</x:v>
      </x:c>
      <x:c r="M34" s="21" t="n">
        <x:f>IF('Sources'!$G$10&lt;=M$6,0,M10*(1-M24))</x:f>
        <x:v>0</x:v>
      </x:c>
    </x:row>
    <x:row r="35" ht="20" customHeight="1">
      <x:c r="A35" s="2"/>
      <x:c r="B35" s="2"/>
      <x:c r="C35" s="2" t="str">
        <x:v>Closing face: 20-year zero</x:v>
      </x:c>
      <x:c r="D35" s="21" t="n">
        <x:f>IF('Sources'!$G$11&lt;=D$6,0,D11*(1-D24))</x:f>
        <x:v>48321974.81880257</x:v>
      </x:c>
      <x:c r="E35" s="21" t="n">
        <x:f>IF('Sources'!$G$11&lt;=E$6,0,E11*(1-E24))</x:f>
        <x:v>48321974.81880257</x:v>
      </x:c>
      <x:c r="F35" s="21" t="n">
        <x:f>IF('Sources'!$G$11&lt;=F$6,0,F11*(1-F24))</x:f>
        <x:v>44467434.594207615</x:v>
      </x:c>
      <x:c r="G35" s="21" t="n">
        <x:f>IF('Sources'!$G$11&lt;=G$6,0,G11*(1-G24))</x:f>
        <x:v>39870039.731554314</x:v>
      </x:c>
      <x:c r="H35" s="21" t="n">
        <x:f>IF('Sources'!$G$11&lt;=H$6,0,H11*(1-H24))</x:f>
        <x:v>39870039.731554314</x:v>
      </x:c>
      <x:c r="I35" s="21" t="n">
        <x:f>IF('Sources'!$G$11&lt;=I$6,0,I11*(1-I24))</x:f>
        <x:v>39870039.731554314</x:v>
      </x:c>
      <x:c r="J35" s="21" t="n">
        <x:f>IF('Sources'!$G$11&lt;=J$6,0,J11*(1-J24))</x:f>
        <x:v>39870039.731554314</x:v>
      </x:c>
      <x:c r="K35" s="21" t="n">
        <x:f>IF('Sources'!$G$11&lt;=K$6,0,K11*(1-K24))</x:f>
        <x:v>39870039.731554314</x:v>
      </x:c>
      <x:c r="L35" s="21" t="n">
        <x:f>IF('Sources'!$G$11&lt;=L$6,0,L11*(1-L24))</x:f>
        <x:v>36831085.07337878</x:v>
      </x:c>
      <x:c r="M35" s="21" t="n">
        <x:f>IF('Sources'!$G$11&lt;=M$6,0,M11*(1-M24))</x:f>
        <x:v>36831085.07337878</x:v>
      </x:c>
    </x:row>
    <x:row r="36" ht="20" customHeight="1">
      <x:c r="A36" s="2"/>
      <x:c r="B36" s="2"/>
      <x:c r="C36" s="2" t="str">
        <x:v>Closing face: 30-year zero</x:v>
      </x:c>
      <x:c r="D36" s="21" t="n">
        <x:f>IF('Sources'!$G$12&lt;=D$6,0,D12*(1-D24))</x:f>
        <x:v>15916632.106992751</x:v>
      </x:c>
      <x:c r="E36" s="21" t="n">
        <x:f>IF('Sources'!$G$12&lt;=E$6,0,E12*(1-E24))</x:f>
        <x:v>15916632.106992751</x:v>
      </x:c>
      <x:c r="F36" s="21" t="n">
        <x:f>IF('Sources'!$G$12&lt;=F$6,0,F12*(1-F24))</x:f>
        <x:v>14646996.523460872</x:v>
      </x:c>
      <x:c r="G36" s="21" t="n">
        <x:f>IF('Sources'!$G$12&lt;=G$6,0,G12*(1-G24))</x:f>
        <x:v>13132674.251785878</x:v>
      </x:c>
      <x:c r="H36" s="21" t="n">
        <x:f>IF('Sources'!$G$12&lt;=H$6,0,H12*(1-H24))</x:f>
        <x:v>13132674.251785878</x:v>
      </x:c>
      <x:c r="I36" s="21" t="n">
        <x:f>IF('Sources'!$G$12&lt;=I$6,0,I12*(1-I24))</x:f>
        <x:v>13132674.251785878</x:v>
      </x:c>
      <x:c r="J36" s="21" t="n">
        <x:f>IF('Sources'!$G$12&lt;=J$6,0,J12*(1-J24))</x:f>
        <x:v>13132674.251785878</x:v>
      </x:c>
      <x:c r="K36" s="21" t="n">
        <x:f>IF('Sources'!$G$12&lt;=K$6,0,K12*(1-K24))</x:f>
        <x:v>13132674.251785878</x:v>
      </x:c>
      <x:c r="L36" s="21" t="n">
        <x:f>IF('Sources'!$G$12&lt;=L$6,0,L12*(1-L24))</x:f>
        <x:v>12131681.981387388</x:v>
      </x:c>
      <x:c r="M36" s="21" t="n">
        <x:f>IF('Sources'!$G$12&lt;=M$6,0,M12*(1-M24))</x:f>
        <x:v>12131681.981387388</x:v>
      </x:c>
    </x:row>
    <x:row r="37" ht="20" customHeight="1">
      <x:c r="A37" s="2"/>
      <x:c r="B37" s="2"/>
      <x:c r="C37" s="2"/>
      <x:c r="D37" s="21"/>
      <x:c r="E37" s="21"/>
      <x:c r="F37" s="21"/>
      <x:c r="G37" s="21"/>
      <x:c r="H37" s="21"/>
      <x:c r="I37" s="21"/>
      <x:c r="J37" s="21"/>
      <x:c r="K37" s="21"/>
      <x:c r="L37" s="21"/>
      <x:c r="M37" s="21"/>
    </x:row>
    <x:row r="38" ht="20" customHeight="1">
      <x:c r="A38" s="2"/>
      <x:c r="B38" s="2"/>
      <x:c r="C38" s="2"/>
      <x:c r="D38" s="21"/>
      <x:c r="E38" s="21"/>
      <x:c r="F38" s="21"/>
      <x:c r="G38" s="21"/>
      <x:c r="H38" s="21"/>
      <x:c r="I38" s="21"/>
      <x:c r="J38" s="21"/>
      <x:c r="K38" s="21"/>
      <x:c r="L38" s="21"/>
      <x:c r="M38" s="21"/>
    </x:row>
    <x:row r="39" ht="20" customHeight="1">
      <x:c r="A39" s="2"/>
      <x:c r="B39" s="2"/>
      <x:c r="C39" s="2" t="str">
        <x:v>Remaining bond market value</x:v>
      </x:c>
      <x:c r="D39" s="21" t="n">
        <x:f>SUMPRODUCT(D32:D36,D54:D58)</x:f>
        <x:v>99889811.56761687</x:v>
      </x:c>
      <x:c r="E39" s="21" t="n">
        <x:f>SUMPRODUCT(E32:E36,E54:E58)</x:f>
        <x:v>105136967.91405956</x:v>
      </x:c>
      <x:c r="F39" s="21" t="n">
        <x:f>SUMPRODUCT(F32:F36,F54:F58)</x:f>
        <x:v>101908492.17139913</x:v>
      </x:c>
      <x:c r="G39" s="21" t="n">
        <x:f>SUMPRODUCT(G32:G36,G54:G58)</x:f>
        <x:v>96216273.34994712</x:v>
      </x:c>
      <x:c r="H39" s="21" t="n">
        <x:f>SUMPRODUCT(H32:H36,H54:H58)</x:f>
        <x:v>59660171.93356446</x:v>
      </x:c>
      <x:c r="I39" s="21" t="n">
        <x:f>SUMPRODUCT(I32:I36,I54:I58)</x:f>
        <x:v>62869455.58436359</x:v>
      </x:c>
      <x:c r="J39" s="21" t="n">
        <x:f>SUMPRODUCT(J32:J36,J54:J58)</x:f>
        <x:v>66332070.79377463</x:v>
      </x:c>
      <x:c r="K39" s="21" t="n">
        <x:f>SUMPRODUCT(K32:K36,K54:K58)</x:f>
        <x:v>70092469.96774401</x:v>
      </x:c>
      <x:c r="L39" s="21" t="n">
        <x:f>SUMPRODUCT(L32:L36,L54:L58)</x:f>
        <x:v>68532389.0354757</x:v>
      </x:c>
      <x:c r="M39" s="21" t="n">
        <x:f>SUMPRODUCT(M32:M36,M54:M58)</x:f>
        <x:v>23582110.12970477</x:v>
      </x:c>
    </x:row>
    <x:row r="40" ht="20" customHeight="1">
      <x:c r="A40" s="2"/>
      <x:c r="B40" s="2"/>
      <x:c r="C40" s="56" t="str">
        <x:v>Closing assets</x:v>
      </x:c>
      <x:c r="D40" s="57" t="n">
        <x:f>SUM(D29,D39)</x:f>
        <x:v>113152956.1118163</x:v>
      </x:c>
      <x:c r="E40" s="57" t="n">
        <x:f>SUM(E29,E39)</x:f>
        <x:v>107519862.49463749</x:v>
      </x:c>
      <x:c r="F40" s="57" t="n">
        <x:f>SUM(F29,F39)</x:f>
        <x:v>101908492.17139913</x:v>
      </x:c>
      <x:c r="G40" s="57" t="n">
        <x:f>SUM(G29,G39)</x:f>
        <x:v>96216273.34994712</x:v>
      </x:c>
      <x:c r="H40" s="57" t="n">
        <x:f>SUM(H29,H39)</x:f>
        <x:v>90493081.26129135</x:v>
      </x:c>
      <x:c r="I40" s="57" t="n">
        <x:f>SUM(I29,I39)</x:f>
        <x:v>84814358.17116772</x:v>
      </x:c>
      <x:c r="J40" s="57" t="n">
        <x:f>SUM(J29,J39)</x:f>
        <x:v>79239705.85450923</x:v>
      </x:c>
      <x:c r="K40" s="57" t="n">
        <x:f>SUM(K29,K39)</x:f>
        <x:v>73806408.04551412</x:v>
      </x:c>
      <x:c r="L40" s="57" t="n">
        <x:f>SUM(L29,L39)</x:f>
        <x:v>68532389.0354757</x:v>
      </x:c>
      <x:c r="M40" s="57" t="n">
        <x:f>SUM(M29,M39)</x:f>
        <x:v>63424581.01913032</x:v>
      </x:c>
    </x:row>
    <x:row r="41" ht="20" customHeight="1">
      <x:c r="A41" s="2"/>
      <x:c r="B41" s="2"/>
      <x:c r="C41" s="2" t="str">
        <x:v>Remaining expected liability</x:v>
      </x:c>
      <x:c r="D41" s="21" t="n">
        <x:f>SUMIFS('Benefits'!$W$6:$W$125,'Benefits'!$C$6:$C$125,"&gt;"&amp;D$6)/D46</x:f>
        <x:v>113152956.11181632</x:v>
      </x:c>
      <x:c r="E41" s="21" t="n">
        <x:f>SUMIFS('Benefits'!$W$6:$W$125,'Benefits'!$C$6:$C$125,"&gt;"&amp;E$6)/E46</x:f>
        <x:v>107519862.49463752</x:v>
      </x:c>
      <x:c r="F41" s="21" t="n">
        <x:f>SUMIFS('Benefits'!$W$6:$W$125,'Benefits'!$C$6:$C$125,"&gt;"&amp;F$6)/F46</x:f>
        <x:v>101908492.17139918</x:v>
      </x:c>
      <x:c r="G41" s="21" t="n">
        <x:f>SUMIFS('Benefits'!$W$6:$W$125,'Benefits'!$C$6:$C$125,"&gt;"&amp;G$6)/G46</x:f>
        <x:v>96216273.3499472</x:v>
      </x:c>
      <x:c r="H41" s="21" t="n">
        <x:f>SUMIFS('Benefits'!$W$6:$W$125,'Benefits'!$C$6:$C$125,"&gt;"&amp;H$6)/H46</x:f>
        <x:v>90493081.26129144</x:v>
      </x:c>
      <x:c r="I41" s="21" t="n">
        <x:f>SUMIFS('Benefits'!$W$6:$W$125,'Benefits'!$C$6:$C$125,"&gt;"&amp;I$6)/I46</x:f>
        <x:v>84814358.17116778</x:v>
      </x:c>
      <x:c r="J41" s="21" t="n">
        <x:f>SUMIFS('Benefits'!$W$6:$W$125,'Benefits'!$C$6:$C$125,"&gt;"&amp;J$6)/J46</x:f>
        <x:v>79239705.8545093</x:v>
      </x:c>
      <x:c r="K41" s="21" t="n">
        <x:f>SUMIFS('Benefits'!$W$6:$W$125,'Benefits'!$C$6:$C$125,"&gt;"&amp;K$6)/K46</x:f>
        <x:v>73806408.0455142</x:v>
      </x:c>
      <x:c r="L41" s="21" t="n">
        <x:f>SUMIFS('Benefits'!$W$6:$W$125,'Benefits'!$C$6:$C$125,"&gt;"&amp;L$6)/L46</x:f>
        <x:v>68532389.03547576</x:v>
      </x:c>
      <x:c r="M41" s="21" t="n">
        <x:f>SUMIFS('Benefits'!$W$6:$W$125,'Benefits'!$C$6:$C$125,"&gt;"&amp;M$6)/M46</x:f>
        <x:v>63424581.019130394</x:v>
      </x:c>
    </x:row>
    <x:row r="42" ht="20" customHeight="1">
      <x:c r="A42" s="2"/>
      <x:c r="B42" s="2"/>
      <x:c r="C42" s="2" t="str">
        <x:v>Unpaid benefits carried forward</x:v>
      </x:c>
      <x:c r="D42" s="21" t="n">
        <x:f>D28</x:f>
        <x:v>0</x:v>
      </x:c>
      <x:c r="E42" s="21" t="n">
        <x:f>D42*D46/E46+E28</x:f>
        <x:v>0</x:v>
      </x:c>
      <x:c r="F42" s="21" t="n">
        <x:f>E42*E46/F46+F28</x:f>
        <x:v>0</x:v>
      </x:c>
      <x:c r="G42" s="21" t="n">
        <x:f>F42*F46/G46+G28</x:f>
        <x:v>0</x:v>
      </x:c>
      <x:c r="H42" s="21" t="n">
        <x:f>G42*G46/H46+H28</x:f>
        <x:v>0</x:v>
      </x:c>
      <x:c r="I42" s="21" t="n">
        <x:f>H42*H46/I46+I28</x:f>
        <x:v>0</x:v>
      </x:c>
      <x:c r="J42" s="21" t="n">
        <x:f>I42*I46/J46+J28</x:f>
        <x:v>0</x:v>
      </x:c>
      <x:c r="K42" s="21" t="n">
        <x:f>J42*J46/K46+K28</x:f>
        <x:v>0</x:v>
      </x:c>
      <x:c r="L42" s="21" t="n">
        <x:f>K42*K46/L46+L28</x:f>
        <x:v>0</x:v>
      </x:c>
      <x:c r="M42" s="21" t="n">
        <x:f>L42*L46/M46+M28</x:f>
        <x:v>0</x:v>
      </x:c>
    </x:row>
    <x:row r="43" ht="20" customHeight="1">
      <x:c r="A43" s="2"/>
      <x:c r="B43" s="2"/>
      <x:c r="C43" s="56" t="str">
        <x:v>Surplus after unpaid benefits</x:v>
      </x:c>
      <x:c r="D43" s="57" t="n">
        <x:f>D40-D41-D42</x:f>
        <x:v>-1.4901161193847656e-8</x:v>
      </x:c>
      <x:c r="E43" s="57" t="n">
        <x:f>E40-E41-E42</x:f>
        <x:v>-2.9802322387695312e-8</x:v>
      </x:c>
      <x:c r="F43" s="57" t="n">
        <x:f>F40-F41-F42</x:f>
        <x:v>-4.470348358154297e-8</x:v>
      </x:c>
      <x:c r="G43" s="57" t="n">
        <x:f>G40-G41-G42</x:f>
        <x:v>-7.450580596923828e-8</x:v>
      </x:c>
      <x:c r="H43" s="57" t="n">
        <x:f>H40-H41-H42</x:f>
        <x:v>-8.940696716308594e-8</x:v>
      </x:c>
      <x:c r="I43" s="57" t="n">
        <x:f>I40-I41-I42</x:f>
        <x:v>-5.960464477539063e-8</x:v>
      </x:c>
      <x:c r="J43" s="57" t="n">
        <x:f>J40-J41-J42</x:f>
        <x:v>-5.960464477539063e-8</x:v>
      </x:c>
      <x:c r="K43" s="57" t="n">
        <x:f>K40-K41-K42</x:f>
        <x:v>-7.450580596923828e-8</x:v>
      </x:c>
      <x:c r="L43" s="57" t="n">
        <x:f>L40-L41-L42</x:f>
        <x:v>-5.960464477539063e-8</x:v>
      </x:c>
      <x:c r="M43" s="57" t="n">
        <x:f>M40-M41-M42</x:f>
        <x:v>-7.450580596923828e-8</x:v>
      </x:c>
    </x:row>
    <x:row r="44" ht="20" customHeight="1">
      <x:c r="A44" s="2"/>
      <x:c r="B44" s="2"/>
      <x:c r="C44" s="2"/>
      <x:c r="D44" s="21"/>
      <x:c r="E44" s="21"/>
      <x:c r="F44" s="21"/>
      <x:c r="G44" s="21"/>
      <x:c r="H44" s="21"/>
      <x:c r="I44" s="21"/>
      <x:c r="J44" s="21"/>
      <x:c r="K44" s="21"/>
      <x:c r="L44" s="21"/>
      <x:c r="M44" s="21"/>
    </x:row>
    <x:row r="45" ht="20" customHeight="1">
      <x:c r="A45" s="2"/>
      <x:c r="B45" s="2"/>
      <x:c r="C45" s="2"/>
      <x:c r="D45" s="21"/>
      <x:c r="E45" s="21"/>
      <x:c r="F45" s="21"/>
      <x:c r="G45" s="21"/>
      <x:c r="H45" s="21"/>
      <x:c r="I45" s="21"/>
      <x:c r="J45" s="21"/>
      <x:c r="K45" s="21"/>
      <x:c r="L45" s="21"/>
      <x:c r="M45" s="21"/>
    </x:row>
    <x:row r="46" ht="20" customHeight="1">
      <x:c r="A46" s="2"/>
      <x:c r="B46" s="2"/>
      <x:c r="C46" s="2" t="str">
        <x:v>Base discount factor</x:v>
      </x:c>
      <x:c r="D46" s="8" t="n">
        <x:f>INDEX('Curve'!$J$6:$J$126,D$6+1)</x:f>
        <x:v>0.9554404015009527</x:v>
      </x:c>
      <x:c r="E46" s="8" t="n">
        <x:f>INDEX('Curve'!$J$6:$J$126,E$6+1)</x:f>
        <x:v>0.9077564586799891</x:v>
      </x:c>
      <x:c r="F46" s="8" t="n">
        <x:f>INDEX('Curve'!$J$6:$J$126,F$6+1)</x:f>
        <x:v>0.8618105773831168</x:v>
      </x:c>
      <x:c r="G46" s="8" t="n">
        <x:f>INDEX('Curve'!$J$6:$J$126,G$6+1)</x:f>
        <x:v>0.8184238138382588</x:v>
      </x:c>
      <x:c r="H46" s="8" t="n">
        <x:f>INDEX('Curve'!$J$6:$J$126,H$6+1)</x:f>
        <x:v>0.7771807295798715</x:v>
      </x:c>
      <x:c r="I46" s="8" t="n">
        <x:f>INDEX('Curve'!$J$6:$J$126,I$6+1)</x:f>
        <x:v>0.7375081511238692</x:v>
      </x:c>
      <x:c r="J46" s="8" t="n">
        <x:f>INDEX('Curve'!$J$6:$J$126,J$6+1)</x:f>
        <x:v>0.6990093237755484</x:v>
      </x:c>
      <x:c r="K46" s="8" t="n">
        <x:f>INDEX('Curve'!$J$6:$J$126,K$6+1)</x:f>
        <x:v>0.661508090263131</x:v>
      </x:c>
      <x:c r="L46" s="8" t="n">
        <x:f>INDEX('Curve'!$J$6:$J$126,L$6+1)</x:f>
        <x:v>0.6249978133666958</x:v>
      </x:c>
      <x:c r="M46" s="8" t="n">
        <x:f>INDEX('Curve'!$J$6:$J$126,M$6+1)</x:f>
        <x:v>0.5895732920479508</x:v>
      </x:c>
    </x:row>
    <x:row r="47" ht="20" customHeight="1">
      <x:c r="A47" s="2"/>
      <x:c r="B47" s="2"/>
      <x:c r="C47" s="2" t="str">
        <x:v>Cumulative discounted benefits paid</x:v>
      </x:c>
      <x:c r="D47" s="21" t="n">
        <x:f>0+D27*D46</x:f>
        <x:v>11269589.604095204</x:v>
      </x:c>
      <x:c r="E47" s="21" t="n">
        <x:f>D47+E27*E46</x:f>
        <x:v>21778645.806697123</x:v>
      </x:c>
      <x:c r="F47" s="21" t="n">
        <x:f>E47+F27*F46</x:f>
        <x:v>31554678.944112286</x:v>
      </x:c>
      <x:c r="G47" s="21" t="n">
        <x:f>F47+G27*G46</x:f>
        <x:v>40634806.034220465</x:v>
      </x:c>
      <x:c r="H47" s="21" t="n">
        <x:f>G47+H27*H46</x:f>
        <x:v>49051016.50600759</x:v>
      </x:c>
      <x:c r="I47" s="21" t="n">
        <x:f>H47+I27*I46</x:f>
        <x:v>56829214.93901307</x:v>
      </x:c>
      <x:c r="J47" s="21" t="n">
        <x:f>I47+J27*J46</x:f>
        <x:v>63991202.21705475</x:v>
      </x:c>
      <x:c r="K47" s="21" t="n">
        <x:f>J47+K27*K46</x:f>
        <x:v>70556959.38721916</x:v>
      </x:c>
      <x:c r="L47" s="21" t="n">
        <x:f>K47+L27*L46</x:f>
        <x:v>76547902.13062057</x:v>
      </x:c>
      <x:c r="M47" s="21" t="n">
        <x:f>L47+M27*M46</x:f>
        <x:v>81987056.39437796</x:v>
      </x:c>
    </x:row>
    <x:row r="48" ht="20" customHeight="1">
      <x:c r="A48" s="2"/>
      <x:c r="B48" s="2"/>
      <x:c r="C48" s="2" t="str">
        <x:v>Cumulative discounted haircut losses</x:v>
      </x:c>
      <x:c r="D48" s="21" t="n">
        <x:f>0+D26*D46</x:f>
        <x:v>0</x:v>
      </x:c>
      <x:c r="E48" s="21" t="n">
        <x:f>D48+E26*E46</x:f>
        <x:v>0</x:v>
      </x:c>
      <x:c r="F48" s="21" t="n">
        <x:f>E48+F26*F46</x:f>
        <x:v>0</x:v>
      </x:c>
      <x:c r="G48" s="21" t="n">
        <x:f>F48+G26*G46</x:f>
        <x:v>0</x:v>
      </x:c>
      <x:c r="H48" s="21" t="n">
        <x:f>G48+H26*H46</x:f>
        <x:v>0</x:v>
      </x:c>
      <x:c r="I48" s="21" t="n">
        <x:f>H48+I26*I46</x:f>
        <x:v>0</x:v>
      </x:c>
      <x:c r="J48" s="21" t="n">
        <x:f>I48+J26*J46</x:f>
        <x:v>0</x:v>
      </x:c>
      <x:c r="K48" s="21" t="n">
        <x:f>J48+K26*K46</x:f>
        <x:v>0</x:v>
      </x:c>
      <x:c r="L48" s="21" t="n">
        <x:f>K48+L26*L46</x:f>
        <x:v>0</x:v>
      </x:c>
      <x:c r="M48" s="21" t="n">
        <x:f>L48+M26*M46</x:f>
        <x:v>0</x:v>
      </x:c>
    </x:row>
    <x:row r="49" ht="20" customHeight="1">
      <x:c r="A49" s="2"/>
      <x:c r="B49" s="2"/>
      <x:c r="C49" s="2" t="str">
        <x:v>Cumulative discounted extra interest</x:v>
      </x:c>
      <x:c r="D49" s="21" t="n">
        <x:f>0+D16*D46</x:f>
        <x:v>0</x:v>
      </x:c>
      <x:c r="E49" s="21" t="n">
        <x:f>D49+E16*E46</x:f>
        <x:v>0</x:v>
      </x:c>
      <x:c r="F49" s="21" t="n">
        <x:f>E49+F16*F46</x:f>
        <x:v>0</x:v>
      </x:c>
      <x:c r="G49" s="21" t="n">
        <x:f>F49+G16*G46</x:f>
        <x:v>0</x:v>
      </x:c>
      <x:c r="H49" s="21" t="n">
        <x:f>G49+H16*H46</x:f>
        <x:v>0</x:v>
      </x:c>
      <x:c r="I49" s="21" t="n">
        <x:f>H49+I16*I46</x:f>
        <x:v>0</x:v>
      </x:c>
      <x:c r="J49" s="21" t="n">
        <x:f>I49+J16*J46</x:f>
        <x:v>0</x:v>
      </x:c>
      <x:c r="K49" s="21" t="n">
        <x:f>J49+K16*K46</x:f>
        <x:v>0</x:v>
      </x:c>
      <x:c r="L49" s="21" t="n">
        <x:f>K49+L16*L46</x:f>
        <x:v>0</x:v>
      </x:c>
      <x:c r="M49" s="21" t="n">
        <x:f>L49+M16*M46</x:f>
        <x:v>0</x:v>
      </x:c>
    </x:row>
    <x:row r="50" ht="20" customHeight="1">
      <x:c r="A50" s="2"/>
      <x:c r="B50" s="2"/>
      <x:c r="C50" s="2" t="str">
        <x:v>Initial assets at base curve</x:v>
      </x:c>
      <x:c r="D50" s="21" t="n">
        <x:f>SUM(D8*INDEX('Curve'!$J$6:$J$126,'Sources'!$G$8+1),D9*INDEX('Curve'!$J$6:$J$126,'Sources'!$G$9+1),D10*INDEX('Curve'!$J$6:$J$126,'Sources'!$G$10+1),D11*INDEX('Curve'!$J$6:$J$126,'Sources'!$G$11+1),D12*INDEX('Curve'!$J$6:$J$126,'Sources'!$G$12+1))</x:f>
        <x:v>119380495.42258862</x:v>
      </x:c>
      <x:c r="E50" s="21" t="n">
        <x:f>$D$50</x:f>
        <x:v>119380495.42258862</x:v>
      </x:c>
      <x:c r="F50" s="21" t="n">
        <x:f>$D$50</x:f>
        <x:v>119380495.42258862</x:v>
      </x:c>
      <x:c r="G50" s="21" t="n">
        <x:f>$D$50</x:f>
        <x:v>119380495.42258862</x:v>
      </x:c>
      <x:c r="H50" s="21" t="n">
        <x:f>$D$50</x:f>
        <x:v>119380495.42258862</x:v>
      </x:c>
      <x:c r="I50" s="21" t="n">
        <x:f>$D$50</x:f>
        <x:v>119380495.42258862</x:v>
      </x:c>
      <x:c r="J50" s="21" t="n">
        <x:f>$D$50</x:f>
        <x:v>119380495.42258862</x:v>
      </x:c>
      <x:c r="K50" s="21" t="n">
        <x:f>$D$50</x:f>
        <x:v>119380495.42258862</x:v>
      </x:c>
      <x:c r="L50" s="21" t="n">
        <x:f>$D$50</x:f>
        <x:v>119380495.42258862</x:v>
      </x:c>
      <x:c r="M50" s="21" t="n">
        <x:f>$D$50</x:f>
        <x:v>119380495.42258862</x:v>
      </x:c>
    </x:row>
    <x:row r="51" ht="20" customHeight="1">
      <x:c r="A51" s="2"/>
      <x:c r="B51" s="2"/>
      <x:c r="C51" s="2" t="str">
        <x:v>Discounted wealth difference</x:v>
      </x:c>
      <x:c r="D51" s="58" t="n">
        <x:f>D50+D49-D47-D48-D40*D46</x:f>
        <x:v>-2.9802322387695312e-8</x:v>
      </x:c>
      <x:c r="E51" s="58" t="n">
        <x:f>E50+E49-E47-E48-E40*E46</x:f>
        <x:v>-1.4901161193847656e-8</x:v>
      </x:c>
      <x:c r="F51" s="58" t="n">
        <x:f>F50+F49-F47-F48-F40*F46</x:f>
        <x:v>0</x:v>
      </x:c>
      <x:c r="G51" s="58" t="n">
        <x:f>G50+G49-G47-G48-G40*G46</x:f>
        <x:v>1.4901161193847656e-8</x:v>
      </x:c>
      <x:c r="H51" s="58" t="n">
        <x:f>H50+H49-H47-H48-H40*H46</x:f>
        <x:v>1.4901161193847656e-8</x:v>
      </x:c>
      <x:c r="I51" s="58" t="n">
        <x:f>I50+I49-I47-I48-I40*I46</x:f>
        <x:v>7.450580596923828e-9</x:v>
      </x:c>
      <x:c r="J51" s="58" t="n">
        <x:f>J50+J49-J47-J48-J40*J46</x:f>
        <x:v>7.450580596923828e-9</x:v>
      </x:c>
      <x:c r="K51" s="58" t="n">
        <x:f>K50+K49-K47-K48-K40*K46</x:f>
        <x:v>2.2351741790771484e-8</x:v>
      </x:c>
      <x:c r="L51" s="58" t="n">
        <x:f>L50+L49-L47-L48-L40*L46</x:f>
        <x:v>1.4901161193847656e-8</x:v>
      </x:c>
      <x:c r="M51" s="58" t="n">
        <x:f>M50+M49-M47-M48-M40*M46</x:f>
        <x:v>1.4901161193847656e-8</x:v>
      </x:c>
    </x:row>
    <x:row r="52" ht="20" customHeight="1">
      <x:c r="A52" s="2"/>
      <x:c r="B52" s="2"/>
      <x:c r="C52" s="2"/>
      <x:c r="D52" s="21"/>
      <x:c r="E52" s="21"/>
      <x:c r="F52" s="21"/>
      <x:c r="G52" s="21"/>
      <x:c r="H52" s="21"/>
      <x:c r="I52" s="21"/>
      <x:c r="J52" s="21"/>
      <x:c r="K52" s="21"/>
      <x:c r="L52" s="21"/>
      <x:c r="M52" s="21"/>
    </x:row>
    <x:row r="53" ht="20" customHeight="1">
      <x:c r="A53" s="2"/>
      <x:c r="B53" s="2"/>
      <x:c r="C53" s="2"/>
      <x:c r="D53" s="21"/>
      <x:c r="E53" s="21"/>
      <x:c r="F53" s="21"/>
      <x:c r="G53" s="21"/>
      <x:c r="H53" s="21"/>
      <x:c r="I53" s="21"/>
      <x:c r="J53" s="21"/>
      <x:c r="K53" s="21"/>
      <x:c r="L53" s="21"/>
      <x:c r="M53" s="21"/>
    </x:row>
    <x:row r="54" ht="20" customHeight="1">
      <x:c r="A54" s="2"/>
      <x:c r="B54" s="2"/>
      <x:c r="C54" s="2" t="str">
        <x:v>Forward mark factor: 1-year zero</x:v>
      </x:c>
      <x:c r="D54" s="8" t="n">
        <x:f>IF('Sources'!$G$8&gt;D$6,INDEX('Curve'!$J$6:$J$126,'Sources'!$G$8+1)/D46,0)</x:f>
        <x:v>0</x:v>
      </x:c>
      <x:c r="E54" s="8" t="n">
        <x:f>IF('Sources'!$G$8&gt;E$6,INDEX('Curve'!$J$6:$J$126,'Sources'!$G$8+1)/E46,0)</x:f>
        <x:v>0</x:v>
      </x:c>
      <x:c r="F54" s="8" t="n">
        <x:f>IF('Sources'!$G$8&gt;F$6,INDEX('Curve'!$J$6:$J$126,'Sources'!$G$8+1)/F46,0)</x:f>
        <x:v>0</x:v>
      </x:c>
      <x:c r="G54" s="8" t="n">
        <x:f>IF('Sources'!$G$8&gt;G$6,INDEX('Curve'!$J$6:$J$126,'Sources'!$G$8+1)/G46,0)</x:f>
        <x:v>0</x:v>
      </x:c>
      <x:c r="H54" s="8" t="n">
        <x:f>IF('Sources'!$G$8&gt;H$6,INDEX('Curve'!$J$6:$J$126,'Sources'!$G$8+1)/H46,0)</x:f>
        <x:v>0</x:v>
      </x:c>
      <x:c r="I54" s="8" t="n">
        <x:f>IF('Sources'!$G$8&gt;I$6,INDEX('Curve'!$J$6:$J$126,'Sources'!$G$8+1)/I46,0)</x:f>
        <x:v>0</x:v>
      </x:c>
      <x:c r="J54" s="8" t="n">
        <x:f>IF('Sources'!$G$8&gt;J$6,INDEX('Curve'!$J$6:$J$126,'Sources'!$G$8+1)/J46,0)</x:f>
        <x:v>0</x:v>
      </x:c>
      <x:c r="K54" s="8" t="n">
        <x:f>IF('Sources'!$G$8&gt;K$6,INDEX('Curve'!$J$6:$J$126,'Sources'!$G$8+1)/K46,0)</x:f>
        <x:v>0</x:v>
      </x:c>
      <x:c r="L54" s="8" t="n">
        <x:f>IF('Sources'!$G$8&gt;L$6,INDEX('Curve'!$J$6:$J$126,'Sources'!$G$8+1)/L46,0)</x:f>
        <x:v>0</x:v>
      </x:c>
      <x:c r="M54" s="8" t="n">
        <x:f>IF('Sources'!$G$8&gt;M$6,INDEX('Curve'!$J$6:$J$126,'Sources'!$G$8+1)/M46,0)</x:f>
        <x:v>0</x:v>
      </x:c>
    </x:row>
    <x:row r="55" ht="20" customHeight="1">
      <x:c r="A55" s="2"/>
      <x:c r="B55" s="2"/>
      <x:c r="C55" s="2" t="str">
        <x:v>Forward mark factor: 5-year zero</x:v>
      </x:c>
      <x:c r="D55" s="8" t="n">
        <x:f>IF('Sources'!$G$9&gt;D$6,INDEX('Curve'!$J$6:$J$126,'Sources'!$G$9+1)/D46,0)</x:f>
        <x:v>0.8134266965882503</x:v>
      </x:c>
      <x:c r="E55" s="8" t="n">
        <x:f>IF('Sources'!$G$9&gt;E$6,INDEX('Curve'!$J$6:$J$126,'Sources'!$G$9+1)/E46,0)</x:f>
        <x:v>0.856155549375001</x:v>
      </x:c>
      <x:c r="F55" s="8" t="n">
        <x:f>IF('Sources'!$G$9&gt;F$6,INDEX('Curve'!$J$6:$J$126,'Sources'!$G$9+1)/F46,0)</x:f>
        <x:v>0.901799943022023</x:v>
      </x:c>
      <x:c r="G55" s="8" t="n">
        <x:f>IF('Sources'!$G$9&gt;G$6,INDEX('Curve'!$J$6:$J$126,'Sources'!$G$9+1)/G46,0)</x:f>
        <x:v>0.9496066908598801</x:v>
      </x:c>
      <x:c r="H55" s="8" t="n">
        <x:f>IF('Sources'!$G$9&gt;H$6,INDEX('Curve'!$J$6:$J$126,'Sources'!$G$9+1)/H46,0)</x:f>
        <x:v>0</x:v>
      </x:c>
      <x:c r="I55" s="8" t="n">
        <x:f>IF('Sources'!$G$9&gt;I$6,INDEX('Curve'!$J$6:$J$126,'Sources'!$G$9+1)/I46,0)</x:f>
        <x:v>0</x:v>
      </x:c>
      <x:c r="J55" s="8" t="n">
        <x:f>IF('Sources'!$G$9&gt;J$6,INDEX('Curve'!$J$6:$J$126,'Sources'!$G$9+1)/J46,0)</x:f>
        <x:v>0</x:v>
      </x:c>
      <x:c r="K55" s="8" t="n">
        <x:f>IF('Sources'!$G$9&gt;K$6,INDEX('Curve'!$J$6:$J$126,'Sources'!$G$9+1)/K46,0)</x:f>
        <x:v>0</x:v>
      </x:c>
      <x:c r="L55" s="8" t="n">
        <x:f>IF('Sources'!$G$9&gt;L$6,INDEX('Curve'!$J$6:$J$126,'Sources'!$G$9+1)/L46,0)</x:f>
        <x:v>0</x:v>
      </x:c>
      <x:c r="M55" s="8" t="n">
        <x:f>IF('Sources'!$G$9&gt;M$6,INDEX('Curve'!$J$6:$J$126,'Sources'!$G$9+1)/M46,0)</x:f>
        <x:v>0</x:v>
      </x:c>
    </x:row>
    <x:row r="56" ht="20" customHeight="1">
      <x:c r="A56" s="2"/>
      <x:c r="B56" s="2"/>
      <x:c r="C56" s="2" t="str">
        <x:v>Forward mark factor: 10-year zero</x:v>
      </x:c>
      <x:c r="D56" s="8" t="n">
        <x:f>IF('Sources'!$G$10&gt;D$6,INDEX('Curve'!$J$6:$J$126,'Sources'!$G$10+1)/D46,0)</x:f>
        <x:v>0.6170696687326164</x:v>
      </x:c>
      <x:c r="E56" s="8" t="n">
        <x:f>IF('Sources'!$G$10&gt;E$6,INDEX('Curve'!$J$6:$J$126,'Sources'!$G$10+1)/E46,0)</x:f>
        <x:v>0.6494839958564181</x:v>
      </x:c>
      <x:c r="F56" s="8" t="n">
        <x:f>IF('Sources'!$G$10&gt;F$6,INDEX('Curve'!$J$6:$J$126,'Sources'!$G$10+1)/F46,0)</x:f>
        <x:v>0.6841100672472447</x:v>
      </x:c>
      <x:c r="G56" s="8" t="n">
        <x:f>IF('Sources'!$G$10&gt;G$6,INDEX('Curve'!$J$6:$J$126,'Sources'!$G$10+1)/G46,0)</x:f>
        <x:v>0.7203765116302755</x:v>
      </x:c>
      <x:c r="H56" s="8" t="n">
        <x:f>IF('Sources'!$G$10&gt;H$6,INDEX('Curve'!$J$6:$J$126,'Sources'!$G$10+1)/H46,0)</x:f>
        <x:v>0.758605134698415</x:v>
      </x:c>
      <x:c r="I56" s="8" t="n">
        <x:f>IF('Sources'!$G$10&gt;I$6,INDEX('Curve'!$J$6:$J$126,'Sources'!$G$10+1)/I46,0)</x:f>
        <x:v>0.7994125775417067</x:v>
      </x:c>
      <x:c r="J56" s="8" t="n">
        <x:f>IF('Sources'!$G$10&gt;J$6,INDEX('Curve'!$J$6:$J$126,'Sources'!$G$10+1)/J46,0)</x:f>
        <x:v>0.8434412417612652</x:v>
      </x:c>
      <x:c r="K56" s="8" t="n">
        <x:f>IF('Sources'!$G$10&gt;K$6,INDEX('Curve'!$J$6:$J$126,'Sources'!$G$10+1)/K46,0)</x:f>
        <x:v>0.8912563591073145</x:v>
      </x:c>
      <x:c r="L56" s="8" t="n">
        <x:f>IF('Sources'!$G$10&gt;L$6,INDEX('Curve'!$J$6:$J$126,'Sources'!$G$10+1)/L46,0)</x:f>
        <x:v>0.9433205675905928</x:v>
      </x:c>
      <x:c r="M56" s="8" t="n">
        <x:f>IF('Sources'!$G$10&gt;M$6,INDEX('Curve'!$J$6:$J$126,'Sources'!$G$10+1)/M46,0)</x:f>
        <x:v>0</x:v>
      </x:c>
    </x:row>
    <x:row r="57" ht="20" customHeight="1">
      <x:c r="A57" s="2"/>
      <x:c r="B57" s="2"/>
      <x:c r="C57" s="2" t="str">
        <x:v>Forward mark factor: 20-year zero</x:v>
      </x:c>
      <x:c r="D57" s="8" t="n">
        <x:f>IF('Sources'!$G$11&gt;D$6,INDEX('Curve'!$J$6:$J$126,'Sources'!$G$11+1)/D46,0)</x:f>
        <x:v>0.33207340611795794</x:v>
      </x:c>
      <x:c r="E57" s="8" t="n">
        <x:f>IF('Sources'!$G$11&gt;E$6,INDEX('Curve'!$J$6:$J$126,'Sources'!$G$11+1)/E46,0)</x:f>
        <x:v>0.3495170377862108</x:v>
      </x:c>
      <x:c r="F57" s="8" t="n">
        <x:f>IF('Sources'!$G$11&gt;F$6,INDEX('Curve'!$J$6:$J$126,'Sources'!$G$11+1)/F46,0)</x:f>
        <x:v>0.36815091018323143</x:v>
      </x:c>
      <x:c r="G57" s="8" t="n">
        <x:f>IF('Sources'!$G$11&gt;G$6,INDEX('Curve'!$J$6:$J$126,'Sources'!$G$11+1)/G46,0)</x:f>
        <x:v>0.38766754229836287</x:v>
      </x:c>
      <x:c r="H57" s="8" t="n">
        <x:f>IF('Sources'!$G$11&gt;H$6,INDEX('Curve'!$J$6:$J$126,'Sources'!$G$11+1)/H46,0)</x:f>
        <x:v>0.40824011249049363</x:v>
      </x:c>
      <x:c r="I57" s="8" t="n">
        <x:f>IF('Sources'!$G$11&gt;I$6,INDEX('Curve'!$J$6:$J$126,'Sources'!$G$11+1)/I46,0)</x:f>
        <x:v>0.430200463527951</x:v>
      </x:c>
      <x:c r="J57" s="8" t="n">
        <x:f>IF('Sources'!$G$11&gt;J$6,INDEX('Curve'!$J$6:$J$126,'Sources'!$G$11+1)/J46,0)</x:f>
        <x:v>0.4538943010880467</x:v>
      </x:c>
      <x:c r="K57" s="8" t="n">
        <x:f>IF('Sources'!$G$11&gt;K$6,INDEX('Curve'!$J$6:$J$126,'Sources'!$G$11+1)/K46,0)</x:f>
        <x:v>0.47962580222250384</x:v>
      </x:c>
      <x:c r="L57" s="8" t="n">
        <x:f>IF('Sources'!$G$11&gt;L$6,INDEX('Curve'!$J$6:$J$126,'Sources'!$G$11+1)/L46,0)</x:f>
        <x:v>0.50764393360042</x:v>
      </x:c>
      <x:c r="M57" s="8" t="n">
        <x:f>IF('Sources'!$G$11&gt;M$6,INDEX('Curve'!$J$6:$J$126,'Sources'!$G$11+1)/M46,0)</x:f>
        <x:v>0.5381457280180292</x:v>
      </x:c>
    </x:row>
    <x:row r="58" ht="20" customHeight="1">
      <x:c r="A58" s="2"/>
      <x:c r="B58" s="2"/>
      <x:c r="C58" s="2" t="str">
        <x:v>Forward mark factor: 30-year zero</x:v>
      </x:c>
      <x:c r="D58" s="8" t="n">
        <x:f>IF('Sources'!$G$12&gt;D$6,INDEX('Curve'!$J$6:$J$126,'Sources'!$G$12+1)/D46,0)</x:f>
        <x:v>0.19133216795305222</x:v>
      </x:c>
      <x:c r="E58" s="8" t="n">
        <x:f>IF('Sources'!$G$12&gt;E$6,INDEX('Curve'!$J$6:$J$126,'Sources'!$G$12+1)/E46,0)</x:f>
        <x:v>0.2013827405149387</x:v>
      </x:c>
      <x:c r="F58" s="8" t="n">
        <x:f>IF('Sources'!$G$12&gt;F$6,INDEX('Curve'!$J$6:$J$126,'Sources'!$G$12+1)/F46,0)</x:f>
        <x:v>0.21211909921574973</x:v>
      </x:c>
      <x:c r="G58" s="8" t="n">
        <x:f>IF('Sources'!$G$12&gt;G$6,INDEX('Curve'!$J$6:$J$126,'Sources'!$G$12+1)/G46,0)</x:f>
        <x:v>0.22336408139418962</x:v>
      </x:c>
      <x:c r="H58" s="8" t="n">
        <x:f>IF('Sources'!$G$12&gt;H$6,INDEX('Curve'!$J$6:$J$126,'Sources'!$G$12+1)/H46,0)</x:f>
        <x:v>0.23521746797290444</x:v>
      </x:c>
      <x:c r="I58" s="8" t="n">
        <x:f>IF('Sources'!$G$12&gt;I$6,INDEX('Curve'!$J$6:$J$126,'Sources'!$G$12+1)/I46,0)</x:f>
        <x:v>0.24787045823227571</x:v>
      </x:c>
      <x:c r="J58" s="8" t="n">
        <x:f>IF('Sources'!$G$12&gt;J$6,INDEX('Curve'!$J$6:$J$126,'Sources'!$G$12+1)/J46,0)</x:f>
        <x:v>0.26152223890480036</x:v>
      </x:c>
      <x:c r="K58" s="8" t="n">
        <x:f>IF('Sources'!$G$12&gt;K$6,INDEX('Curve'!$J$6:$J$126,'Sources'!$G$12+1)/K46,0)</x:f>
        <x:v>0.2763480689954921</x:v>
      </x:c>
      <x:c r="L58" s="8" t="n">
        <x:f>IF('Sources'!$G$12&gt;L$6,INDEX('Curve'!$J$6:$J$126,'Sources'!$G$12+1)/L46,0)</x:f>
        <x:v>0.29249139670486585</x:v>
      </x:c>
      <x:c r="M58" s="8" t="n">
        <x:f>IF('Sources'!$G$12&gt;M$6,INDEX('Curve'!$J$6:$J$126,'Sources'!$G$12+1)/M46,0)</x:f>
        <x:v>0.3100657472697118</x:v>
      </x:c>
    </x:row>
    <x:row r="59" ht="2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</x:row>
    <x:row r="60" ht="2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</x:row>
  </x:sheetData>
  <x:conditionalFormatting sqref="D51:M51">
    <x:cfRule type="expression" dxfId="2" priority="1">
      <x:formula>ABS(D51)&gt;0.0001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" hidden="0" customWidth="1"/>
    <x:col min="2" max="2" width="2" hidden="0" customWidth="1"/>
    <x:col min="3" max="3" width="27" hidden="0" customWidth="1"/>
    <x:col min="4" max="4" width="18" hidden="0" customWidth="1"/>
    <x:col min="5" max="5" width="18" hidden="0" customWidth="1"/>
    <x:col min="6" max="6" width="18" hidden="0" customWidth="1"/>
    <x:col min="7" max="7" width="25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23" hidden="0" customWidth="1"/>
    <x:col min="13" max="13" width="18" hidden="0" customWidth="1"/>
    <x:col min="14" max="14" width="18" hidden="0" customWidth="1"/>
  </x:cols>
  <x:sheetData>
    <x:row r="1" ht="2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0" customHeight="1">
      <x:c r="A2" s="2"/>
      <x:c r="B2" s="2"/>
      <x:c r="C2" s="4" t="str">
        <x:v>Historical hedge reconciliation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0" customHeight="1">
      <x:c r="A3" s="2"/>
      <x:c r="B3" s="2"/>
      <x:c r="C3" s="2" t="str">
        <x:v>Portfolio</x:v>
      </x:c>
      <x:c r="D3" s="6" t="str">
        <x:f>INDEX('Sources'!$H$7:$K$7,1,'Controls'!$F$4)</x:f>
        <x:v>Covariance hedge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0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0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0" customHeight="1">
      <x:c r="A6" s="2"/>
      <x:c r="B6" s="2"/>
      <x:c r="C6" s="2" t="str">
        <x:v>Starting curve date</x:v>
      </x:c>
      <x:c r="D6" s="7" t="n">
        <x:f>INDEX('Sources'!$H$70:$J$70,1,'Controls'!$F$20)</x:f>
        <x:v>43465</x:v>
      </x:c>
      <x:c r="E6" s="2"/>
      <x:c r="F6" s="2"/>
      <x:c r="G6" s="2" t="str">
        <x:v>Start BETA0</x:v>
      </x:c>
      <x:c r="H6" s="8" t="n">
        <x:f>INDEX('Sources'!$H$72:$J$72,1,'Controls'!$F$20)</x:f>
        <x:v>5.14492077256517</x:v>
      </x:c>
      <x:c r="I6" s="8"/>
      <x:c r="J6" s="8" t="str">
        <x:v>End BETA0</x:v>
      </x:c>
      <x:c r="K6" s="8" t="n">
        <x:f>INDEX('Sources'!$H$78:$J$78,1,'Controls'!$F$20)</x:f>
        <x:v>7.39124164463587</x:v>
      </x:c>
      <x:c r="L6" s="2"/>
      <x:c r="M6" s="2"/>
      <x:c r="N6" s="2"/>
    </x:row>
    <x:row r="7" ht="20" customHeight="1">
      <x:c r="A7" s="2"/>
      <x:c r="B7" s="2"/>
      <x:c r="C7" s="2" t="str">
        <x:v>Ending curve date</x:v>
      </x:c>
      <x:c r="D7" s="7" t="n">
        <x:f>INDEX('Sources'!$H$71:$J$71,1,'Controls'!$F$20)</x:f>
        <x:v>43496</x:v>
      </x:c>
      <x:c r="E7" s="2"/>
      <x:c r="F7" s="2"/>
      <x:c r="G7" s="2" t="str">
        <x:v>Start BETA1</x:v>
      </x:c>
      <x:c r="H7" s="8" t="n">
        <x:f>INDEX('Sources'!$H$73:$J$73,1,'Controls'!$F$20)</x:f>
        <x:v>-2.37129481436817</x:v>
      </x:c>
      <x:c r="I7" s="8"/>
      <x:c r="J7" s="8" t="str">
        <x:v>End BETA1</x:v>
      </x:c>
      <x:c r="K7" s="8" t="n">
        <x:f>INDEX('Sources'!$H$79:$J$79,1,'Controls'!$F$20)</x:f>
        <x:v>-4.75993777135757</x:v>
      </x:c>
      <x:c r="L7" s="2"/>
      <x:c r="M7" s="2"/>
      <x:c r="N7" s="2"/>
    </x:row>
    <x:row r="8" ht="20" customHeight="1">
      <x:c r="A8" s="2"/>
      <x:c r="B8" s="2"/>
      <x:c r="C8" s="2" t="str">
        <x:v>Actual elapsed years</x:v>
      </x:c>
      <x:c r="D8" s="8" t="n">
        <x:f>(D7-D6)/365.25</x:f>
        <x:v>0.08487337440109514</x:v>
      </x:c>
      <x:c r="E8" s="2"/>
      <x:c r="F8" s="2"/>
      <x:c r="G8" s="2" t="str">
        <x:v>Start BETA2</x:v>
      </x:c>
      <x:c r="H8" s="8" t="n">
        <x:f>INDEX('Sources'!$H$74:$J$74,1,'Controls'!$F$20)</x:f>
        <x:v>-2.83787111876559</x:v>
      </x:c>
      <x:c r="I8" s="8"/>
      <x:c r="J8" s="8" t="str">
        <x:v>End BETA2</x:v>
      </x:c>
      <x:c r="K8" s="8" t="n">
        <x:f>INDEX('Sources'!$H$80:$J$80,1,'Controls'!$F$20)</x:f>
        <x:v>-3.91129539060534</x:v>
      </x:c>
      <x:c r="L8" s="2"/>
      <x:c r="M8" s="2"/>
      <x:c r="N8" s="2"/>
    </x:row>
    <x:row r="9" ht="20" customHeight="1">
      <x:c r="A9" s="2"/>
      <x:c r="B9" s="2"/>
      <x:c r="C9" s="2"/>
      <x:c r="D9" s="2"/>
      <x:c r="E9" s="2"/>
      <x:c r="F9" s="2"/>
      <x:c r="G9" s="2" t="str">
        <x:v>Start BETA3</x:v>
      </x:c>
      <x:c r="H9" s="8" t="n">
        <x:f>INDEX('Sources'!$H$75:$J$75,1,'Controls'!$F$20)</x:f>
        <x:v>-5.25607670138492</x:v>
      </x:c>
      <x:c r="I9" s="8"/>
      <x:c r="J9" s="8" t="str">
        <x:v>End BETA3</x:v>
      </x:c>
      <x:c r="K9" s="8" t="n">
        <x:f>INDEX('Sources'!$H$81:$J$81,1,'Controls'!$F$20)</x:f>
        <x:v>-10.5293161603944</x:v>
      </x:c>
      <x:c r="L9" s="2"/>
      <x:c r="M9" s="2"/>
      <x:c r="N9" s="2"/>
    </x:row>
    <x:row r="10" ht="20" customHeight="1">
      <x:c r="A10" s="2"/>
      <x:c r="B10" s="2"/>
      <x:c r="C10" s="2"/>
      <x:c r="D10" s="2"/>
      <x:c r="E10" s="2"/>
      <x:c r="F10" s="2"/>
      <x:c r="G10" s="2" t="str">
        <x:v>Start TAU1</x:v>
      </x:c>
      <x:c r="H10" s="8" t="n">
        <x:f>INDEX('Sources'!$H$76:$J$76,1,'Controls'!$F$20)</x:f>
        <x:v>2.60506594523655</x:v>
      </x:c>
      <x:c r="I10" s="8"/>
      <x:c r="J10" s="8" t="str">
        <x:v>End TAU1</x:v>
      </x:c>
      <x:c r="K10" s="8" t="n">
        <x:f>INDEX('Sources'!$H$82:$J$82,1,'Controls'!$F$20)</x:f>
        <x:v>4.01727803650738</x:v>
      </x:c>
      <x:c r="L10" s="2"/>
      <x:c r="M10" s="2"/>
      <x:c r="N10" s="2"/>
    </x:row>
    <x:row r="11" ht="20" customHeight="1">
      <x:c r="A11" s="2"/>
      <x:c r="B11" s="2"/>
      <x:c r="C11" s="2"/>
      <x:c r="D11" s="2"/>
      <x:c r="E11" s="2"/>
      <x:c r="F11" s="2"/>
      <x:c r="G11" s="2" t="str">
        <x:v>Start TAU2</x:v>
      </x:c>
      <x:c r="H11" s="8" t="n">
        <x:f>INDEX('Sources'!$H$77:$J$77,1,'Controls'!$F$20)</x:f>
        <x:v>14.0877634210995</x:v>
      </x:c>
      <x:c r="I11" s="8"/>
      <x:c r="J11" s="8" t="str">
        <x:v>End TAU2</x:v>
      </x:c>
      <x:c r="K11" s="8" t="n">
        <x:f>INDEX('Sources'!$H$83:$J$83,1,'Controls'!$F$20)</x:f>
        <x:v>19.9820016483333</x:v>
      </x:c>
      <x:c r="L11" s="2"/>
      <x:c r="M11" s="2"/>
      <x:c r="N11" s="2"/>
    </x:row>
    <x:row r="12" ht="2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34" customHeight="1">
      <x:c r="A14" s="2"/>
      <x:c r="B14" s="2"/>
      <x:c r="C14" s="17" t="str">
        <x:v>Maturity</x:v>
      </x:c>
      <x:c r="D14" s="18" t="str">
        <x:v>Imported weight</x:v>
      </x:c>
      <x:c r="E14" s="18" t="str">
        <x:v>Start DF</x:v>
      </x:c>
      <x:c r="F14" s="18" t="str">
        <x:v>Face amount</x:v>
      </x:c>
      <x:c r="G14" s="18" t="str">
        <x:v>Rolled end DF</x:v>
      </x:c>
      <x:c r="H14" s="18" t="str">
        <x:v>End asset PV</x:v>
      </x:c>
      <x:c r="I14" s="19" t="str">
        <x:v>Initial asset PV</x:v>
      </x:c>
      <x:c r="J14" s="2"/>
      <x:c r="K14" s="2"/>
      <x:c r="L14" s="2"/>
      <x:c r="M14" s="2"/>
      <x:c r="N14" s="2"/>
    </x:row>
    <x:row r="15" ht="34" customHeight="1">
      <x:c r="A15" s="2"/>
      <x:c r="B15" s="2"/>
      <x:c r="C15" s="2" t="n">
        <x:v>1</x:v>
      </x:c>
      <x:c r="D15" s="8" t="n">
        <x:f>INDEX('Sources'!$I$87:$M$98,(('Controls'!$F$20-1)*4+'Controls'!$F$4),1)</x:f>
        <x:v>0.0838745435169125</x:v>
      </x:c>
      <x:c r="E15" s="8" t="n">
        <x:f>INDEX($E$28:$E$57,C15)</x:f>
        <x:v>0.974585542422877</x:v>
      </x:c>
      <x:c r="F15" s="8" t="n">
        <x:f>$D$22*D15/E15</x:f>
        <x:v>170.13672554568058</x:v>
      </x:c>
      <x:c r="G15" s="8" t="n">
        <x:f>INDEX($H$28:$H$57,C15)</x:f>
        <x:v>0.9772261482245951</x:v>
      </x:c>
      <x:c r="H15" s="8" t="n">
        <x:f>F15*G15</x:f>
        <x:v>166.2620569765505</x:v>
      </x:c>
      <x:c r="I15" s="8" t="n">
        <x:f>F15*E15</x:f>
        <x:v>165.81279295198925</x:v>
      </x:c>
      <x:c r="J15" s="2"/>
      <x:c r="K15" s="2"/>
      <x:c r="L15" s="17" t="str">
        <x:v>Method</x:v>
      </x:c>
      <x:c r="M15" s="18" t="str">
        <x:v>RMSE (bp)</x:v>
      </x:c>
      <x:c r="N15" s="19" t="str">
        <x:v>Bias (bp)</x:v>
      </x:c>
    </x:row>
    <x:row r="16" ht="20" customHeight="1">
      <x:c r="A16" s="2"/>
      <x:c r="B16" s="2"/>
      <x:c r="C16" s="2" t="n">
        <x:v>5</x:v>
      </x:c>
      <x:c r="D16" s="8" t="n">
        <x:f>INDEX('Sources'!$I$87:$M$98,(('Controls'!$F$20-1)*4+'Controls'!$F$4),2)</x:f>
        <x:v>0.21762507378878984</x:v>
      </x:c>
      <x:c r="E16" s="8" t="n">
        <x:f>INDEX($E$28:$E$57,C16)</x:f>
        <x:v>0.8822084797164704</x:v>
      </x:c>
      <x:c r="F16" s="8" t="n">
        <x:f>$D$22*D16/E16</x:f>
        <x:v>487.66947073542707</x:v>
      </x:c>
      <x:c r="G16" s="8" t="n">
        <x:f>INDEX($H$28:$H$57,C16)</x:f>
        <x:v>0.8870373921096182</x:v>
      </x:c>
      <x:c r="H16" s="8" t="n">
        <x:f>F16*G16</x:f>
        <x:v>432.581055532631</x:v>
      </x:c>
      <x:c r="I16" s="8" t="n">
        <x:f>F16*E16</x:f>
        <x:v>430.22614238163686</x:v>
      </x:c>
      <x:c r="J16" s="2"/>
      <x:c r="K16" s="2"/>
      <x:c r="L16" s="2" t="str">
        <x:v>Five-year zero</x:v>
      </x:c>
      <x:c r="M16" s="63" t="n">
        <x:f>SQRT(SUMSQ(D63:D146)/84)*10000</x:f>
        <x:v>203.2079495309215</x:v>
      </x:c>
      <x:c r="N16" s="63" t="n">
        <x:f>AVERAGE(D63:D146)*10000</x:f>
        <x:v>11.419598138883096</x:v>
      </x:c>
    </x:row>
    <x:row r="17" ht="20" customHeight="1">
      <x:c r="A17" s="2"/>
      <x:c r="B17" s="2"/>
      <x:c r="C17" s="2" t="n">
        <x:v>10</x:v>
      </x:c>
      <x:c r="D17" s="8" t="n">
        <x:f>INDEX('Sources'!$I$87:$M$98,(('Controls'!$F$20-1)*4+'Controls'!$F$4),3)</x:f>
        <x:v>0.3149018500793736</x:v>
      </x:c>
      <x:c r="E17" s="8" t="n">
        <x:f>INDEX($E$28:$E$57,C17)</x:f>
        <x:v>0.7634456847112201</x:v>
      </x:c>
      <x:c r="F17" s="8" t="n">
        <x:f>$D$22*D17/E17</x:f>
        <x:v>815.4267091630851</x:v>
      </x:c>
      <x:c r="G17" s="8" t="n">
        <x:f>INDEX($H$28:$H$57,C17)</x:f>
        <x:v>0.7714216640481458</x:v>
      </x:c>
      <x:c r="H17" s="8" t="n">
        <x:f>F17*G17</x:f>
        <x:v>629.0378288918905</x:v>
      </x:c>
      <x:c r="I17" s="8" t="n">
        <x:f>F17*E17</x:f>
        <x:v>622.5340023088285</x:v>
      </x:c>
      <x:c r="J17" s="2"/>
      <x:c r="K17" s="2"/>
      <x:c r="L17" s="2" t="str">
        <x:v>Duration match</x:v>
      </x:c>
      <x:c r="M17" s="63" t="n">
        <x:f>SQRT(SUMSQ(E63:E146)/84)*10000</x:f>
        <x:v>15.865058416529644</x:v>
      </x:c>
      <x:c r="N17" s="63" t="n">
        <x:f>AVERAGE(E63:E146)*10000</x:f>
        <x:v>-0.7066846641759698</x:v>
      </x:c>
    </x:row>
    <x:row r="18" ht="20" customHeight="1">
      <x:c r="A18" s="2"/>
      <x:c r="B18" s="2"/>
      <x:c r="C18" s="2" t="n">
        <x:v>20</x:v>
      </x:c>
      <x:c r="D18" s="8" t="n">
        <x:f>INDEX('Sources'!$I$87:$M$98,(('Controls'!$F$20-1)*4+'Controls'!$F$4),4)</x:f>
        <x:v>0.2748371239457191</x:v>
      </x:c>
      <x:c r="E18" s="8" t="n">
        <x:f>INDEX($E$28:$E$57,C18)</x:f>
        <x:v>0.5563486279787999</x:v>
      </x:c>
      <x:c r="F18" s="8" t="n">
        <x:f>$D$22*D18/E18</x:f>
        <x:v>976.5989182337856</x:v>
      </x:c>
      <x:c r="G18" s="8" t="n">
        <x:f>INDEX($H$28:$H$57,C18)</x:f>
        <x:v>0.5609129670441217</x:v>
      </x:c>
      <x:c r="H18" s="8" t="n">
        <x:f>F18*G18</x:f>
        <x:v>547.7869968385924</x:v>
      </x:c>
      <x:c r="I18" s="8" t="n">
        <x:f>F18*E18</x:f>
        <x:v>543.3294682449468</x:v>
      </x:c>
      <x:c r="J18" s="2"/>
      <x:c r="K18" s="2"/>
      <x:c r="L18" s="2" t="str">
        <x:v>Key-rate hedge</x:v>
      </x:c>
      <x:c r="M18" s="63" t="n">
        <x:f>SQRT(SUMSQ(F63:F146)/84)*10000</x:f>
        <x:v>7.679532726706246</x:v>
      </x:c>
      <x:c r="N18" s="63" t="n">
        <x:f>AVERAGE(F63:F146)*10000</x:f>
        <x:v>0.5501910603828816</x:v>
      </x:c>
    </x:row>
    <x:row r="19" ht="20" customHeight="1">
      <x:c r="A19" s="2"/>
      <x:c r="B19" s="2"/>
      <x:c r="C19" s="2" t="n">
        <x:v>30</x:v>
      </x:c>
      <x:c r="D19" s="8" t="n">
        <x:f>INDEX('Sources'!$I$87:$M$98,(('Controls'!$F$20-1)*4+'Controls'!$F$4),5)</x:f>
        <x:v>0.10876140866920488</x:v>
      </x:c>
      <x:c r="E19" s="8" t="n">
        <x:f>INDEX($E$28:$E$57,C19)</x:f>
        <x:v>0.38952162106506116</x:v>
      </x:c>
      <x:c r="F19" s="8" t="n">
        <x:f>$D$22*D19/E19</x:f>
        <x:v>551.9898856403453</x:v>
      </x:c>
      <x:c r="G19" s="8" t="n">
        <x:f>INDEX($H$28:$H$57,C19)</x:f>
        <x:v>0.39244575955030814</x:v>
      </x:c>
      <x:c r="H19" s="8" t="n">
        <x:f>F19*G19</x:f>
        <x:v>216.62608993421304</x:v>
      </x:c>
      <x:c r="I19" s="8" t="n">
        <x:f>F19*E19</x:f>
        <x:v>215.01199506614503</x:v>
      </x:c>
      <x:c r="J19" s="2"/>
      <x:c r="K19" s="2"/>
      <x:c r="L19" s="2" t="str">
        <x:v>Covariance hedge</x:v>
      </x:c>
      <x:c r="M19" s="63" t="n">
        <x:f>SQRT(SUMSQ(G63:G146)/84)*10000</x:f>
        <x:v>6.499446879756122</x:v>
      </x:c>
      <x:c r="N19" s="63" t="n">
        <x:f>AVERAGE(G63:G146)*10000</x:f>
        <x:v>0.4888678448891362</x:v>
      </x:c>
    </x:row>
    <x:row r="20" ht="2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2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0" customHeight="1">
      <x:c r="A22" s="2"/>
      <x:c r="B22" s="2"/>
      <x:c r="C22" s="2" t="str">
        <x:v>Initial liability PV</x:v>
      </x:c>
      <x:c r="D22" s="21" t="n">
        <x:f>SUM(I28:I57)</x:f>
        <x:v>1976.9144009535466</x:v>
      </x:c>
      <x:c r="E22" s="2"/>
      <x:c r="F22" s="2"/>
      <x:c r="G22" s="2" t="str">
        <x:v>End asset PV</x:v>
      </x:c>
      <x:c r="H22" s="21" t="n">
        <x:f>SUM(H15:H19)</x:f>
        <x:v>1992.2940281738775</x:v>
      </x:c>
      <x:c r="I22" s="2"/>
      <x:c r="J22" s="2"/>
      <x:c r="K22" s="2"/>
      <x:c r="L22" s="23" t="str">
        <x:v>84 final months, Jan 2019 to Dec 2025.</x:v>
      </x:c>
      <x:c r="M22" s="2"/>
      <x:c r="N22" s="2"/>
    </x:row>
    <x:row r="23" ht="20" customHeight="1">
      <x:c r="A23" s="2"/>
      <x:c r="B23" s="2"/>
      <x:c r="C23" s="2" t="str">
        <x:v>End liability PV</x:v>
      </x:c>
      <x:c r="D23" s="21" t="n">
        <x:f>SUM(J28:J57)</x:f>
        <x:v>1992.0835438174734</x:v>
      </x:c>
      <x:c r="E23" s="2"/>
      <x:c r="F23" s="2"/>
      <x:c r="G23" s="2" t="str">
        <x:v>Surplus fraction</x:v>
      </x:c>
      <x:c r="H23" s="24" t="n">
        <x:f>(H22-D23)/D22</x:f>
        <x:v>0.00010647115338052553</x:v>
      </x:c>
      <x:c r="I23" s="2"/>
      <x:c r="J23" s="2"/>
      <x:c r="K23" s="2"/>
      <x:c r="L23" s="2"/>
      <x:c r="M23" s="2"/>
      <x:c r="N23" s="2"/>
    </x:row>
    <x:row r="24" ht="20" customHeight="1">
      <x:c r="A24" s="2"/>
      <x:c r="B24" s="2"/>
      <x:c r="C24" s="2"/>
      <x:c r="D24" s="2"/>
      <x:c r="E24" s="2"/>
      <x:c r="F24" s="2"/>
      <x:c r="G24" s="2" t="str">
        <x:v>Sealed surplus fraction</x:v>
      </x:c>
      <x:c r="H24" s="24" t="n">
        <x:f>INDEX('Sources'!$O$87:$O$98,(('Controls'!$F$20-1)*4+'Controls'!$F$4))</x:f>
        <x:v>0.00010647115338087056</x:v>
      </x:c>
      <x:c r="I24" s="2"/>
      <x:c r="J24" s="2"/>
      <x:c r="K24" s="2"/>
      <x:c r="L24" s="23" t="str">
        <x:v>RMSE units: bp of initial liability PV.</x:v>
      </x:c>
      <x:c r="M24" s="2"/>
      <x:c r="N24" s="2"/>
    </x:row>
    <x:row r="25" ht="20" customHeight="1">
      <x:c r="A25" s="2"/>
      <x:c r="B25" s="2"/>
      <x:c r="C25" s="2"/>
      <x:c r="D25" s="2"/>
      <x:c r="E25" s="2"/>
      <x:c r="F25" s="2"/>
      <x:c r="G25" s="2" t="str">
        <x:v>Repricing difference</x:v>
      </x:c>
      <x:c r="H25" s="24" t="n">
        <x:f>H23-H24</x:f>
        <x:v>-3.450337888663557e-16</x:v>
      </x:c>
      <x:c r="I25" s="2"/>
      <x:c r="J25" s="2"/>
      <x:c r="K25" s="2"/>
      <x:c r="L25" s="2"/>
      <x:c r="M25" s="2"/>
      <x:c r="N25" s="2"/>
    </x:row>
    <x:row r="26" ht="2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3" t="str">
        <x:v>Retrospective reset-portfolio experiments.</x:v>
      </x:c>
      <x:c r="M26" s="2"/>
      <x:c r="N26" s="2"/>
    </x:row>
    <x:row r="27" ht="34" customHeight="1">
      <x:c r="A27" s="2"/>
      <x:c r="B27" s="2"/>
      <x:c r="C27" s="17" t="str">
        <x:v>Maturity</x:v>
      </x:c>
      <x:c r="D27" s="18" t="str">
        <x:v>Start zero</x:v>
      </x:c>
      <x:c r="E27" s="18" t="str">
        <x:v>Start DF</x:v>
      </x:c>
      <x:c r="F27" s="18" t="str">
        <x:v>Rolled maturity</x:v>
      </x:c>
      <x:c r="G27" s="18" t="str">
        <x:v>End zero</x:v>
      </x:c>
      <x:c r="H27" s="18" t="str">
        <x:v>End DF</x:v>
      </x:c>
      <x:c r="I27" s="18" t="str">
        <x:v>Start liability PV</x:v>
      </x:c>
      <x:c r="J27" s="19" t="str">
        <x:v>End liability PV</x:v>
      </x:c>
      <x:c r="K27" s="2"/>
      <x:c r="L27" s="2"/>
      <x:c r="M27" s="2"/>
      <x:c r="N27" s="2"/>
    </x:row>
    <x:row r="28" ht="20" customHeight="1">
      <x:c r="A28" s="2"/>
      <x:c r="B28" s="2"/>
      <x:c r="C28" s="2" t="n">
        <x:v>1</x:v>
      </x:c>
      <x:c r="D28" s="45" t="n">
        <x:f>($H$6+$H$7*((1-EXP(-C28/$H$10))/(C28/$H$10))+$H$8*(((1-EXP(-C28/$H$10))/(C28/$H$10))-EXP(-C28/$H$10))+$H$9*(((1-EXP(-C28/$H$11))/(C28/$H$11))-EXP(-C28/$H$11)))/100</x:f>
        <x:v>0.02574298305288579</x:v>
      </x:c>
      <x:c r="E28" s="8" t="n">
        <x:f>EXP(-C28*D28)</x:f>
        <x:v>0.974585542422877</x:v>
      </x:c>
      <x:c r="F28" s="8" t="n">
        <x:f>C28-$D$8</x:f>
        <x:v>0.9151266255989049</x:v>
      </x:c>
      <x:c r="G28" s="45" t="n">
        <x:f>($K$6+$K$7*((1-EXP(-F28/$K$10))/(F28/$K$10))+$K$8*(((1-EXP(-F28/$K$10))/(F28/$K$10))-EXP(-F28/$K$10))+$K$9*(((1-EXP(-F28/$K$11))/(F28/$K$11))-EXP(-F28/$K$11)))/100</x:f>
        <x:v>0.02517376393383203</x:v>
      </x:c>
      <x:c r="H28" s="8" t="n">
        <x:f>EXP(-F28*G28)</x:f>
        <x:v>0.9772261482245951</x:v>
      </x:c>
      <x:c r="I28" s="21" t="n">
        <x:f>'Sources'!$H$104*E28</x:f>
        <x:v>97.4585542422877</x:v>
      </x:c>
      <x:c r="J28" s="21" t="n">
        <x:f>'Sources'!$H$104*H28</x:f>
        <x:v>97.7226148224595</x:v>
      </x:c>
      <x:c r="K28" s="2"/>
      <x:c r="L28" s="2"/>
      <x:c r="M28" s="2"/>
      <x:c r="N28" s="2"/>
    </x:row>
    <x:row r="29" ht="20" customHeight="1">
      <x:c r="A29" s="2"/>
      <x:c r="B29" s="2"/>
      <x:c r="C29" s="2" t="n">
        <x:v>2</x:v>
      </x:c>
      <x:c r="D29" s="45" t="n">
        <x:f>($H$6+$H$7*((1-EXP(-C29/$H$10))/(C29/$H$10))+$H$8*(((1-EXP(-C29/$H$10))/(C29/$H$10))-EXP(-C29/$H$10))+$H$9*(((1-EXP(-C29/$H$11))/(C29/$H$11))-EXP(-C29/$H$11)))/100</x:f>
        <x:v>0.024858859330642743</x:v>
      </x:c>
      <x:c r="E29" s="8" t="n">
        <x:f>EXP(-C29*D29)</x:f>
        <x:v>0.9514979767179431</x:v>
      </x:c>
      <x:c r="F29" s="8" t="n">
        <x:f>C29-$D$8</x:f>
        <x:v>1.9151266255989048</x:v>
      </x:c>
      <x:c r="G29" s="45" t="n">
        <x:f>($K$6+$K$7*((1-EXP(-F29/$K$10))/(F29/$K$10))+$K$8*(((1-EXP(-F29/$K$10))/(F29/$K$10))-EXP(-F29/$K$10))+$K$9*(((1-EXP(-F29/$K$11))/(F29/$K$11))-EXP(-F29/$K$11)))/100</x:f>
        <x:v>0.02448862097839028</x:v>
      </x:c>
      <x:c r="H29" s="8" t="n">
        <x:f>EXP(-F29*G29)</x:f>
        <x:v>0.954183946521777</x:v>
      </x:c>
      <x:c r="I29" s="21" t="n">
        <x:f>'Sources'!$H$104*E29</x:f>
        <x:v>95.14979767179432</x:v>
      </x:c>
      <x:c r="J29" s="21" t="n">
        <x:f>'Sources'!$H$104*H29</x:f>
        <x:v>95.4183946521777</x:v>
      </x:c>
      <x:c r="K29" s="2"/>
      <x:c r="L29" s="2"/>
      <x:c r="M29" s="2"/>
      <x:c r="N29" s="2"/>
    </x:row>
    <x:row r="30" ht="20" customHeight="1">
      <x:c r="A30" s="2"/>
      <x:c r="B30" s="2"/>
      <x:c r="C30" s="2" t="n">
        <x:v>3</x:v>
      </x:c>
      <x:c r="D30" s="45" t="n">
        <x:f>($H$6+$H$7*((1-EXP(-C30/$H$10))/(C30/$H$10))+$H$8*(((1-EXP(-C30/$H$10))/(C30/$H$10))-EXP(-C30/$H$10))+$H$9*(((1-EXP(-C30/$H$11))/(C30/$H$11))-EXP(-C30/$H$11)))/100</x:f>
        <x:v>0.02462441683432976</x:v>
      </x:c>
      <x:c r="E30" s="8" t="n">
        <x:f>EXP(-C30*D30)</x:f>
        <x:v>0.9287894099714422</x:v>
      </x:c>
      <x:c r="F30" s="8" t="n">
        <x:f>C30-$D$8</x:f>
        <x:v>2.915126625598905</x:v>
      </x:c>
      <x:c r="G30" s="45" t="n">
        <x:f>($K$6+$K$7*((1-EXP(-F30/$K$10))/(F30/$K$10))+$K$8*(((1-EXP(-F30/$K$10))/(F30/$K$10))-EXP(-F30/$K$10))+$K$9*(((1-EXP(-F30/$K$11))/(F30/$K$11))-EXP(-F30/$K$11)))/100</x:f>
        <x:v>0.024211832940534524</x:v>
      </x:c>
      <x:c r="H30" s="8" t="n">
        <x:f>EXP(-F30*G30)</x:f>
        <x:v>0.9318526675138616</x:v>
      </x:c>
      <x:c r="I30" s="21" t="n">
        <x:f>'Sources'!$H$104*E30</x:f>
        <x:v>92.87894099714423</x:v>
      </x:c>
      <x:c r="J30" s="21" t="n">
        <x:f>'Sources'!$H$104*H30</x:f>
        <x:v>93.18526675138617</x:v>
      </x:c>
      <x:c r="K30" s="2"/>
      <x:c r="L30" s="2"/>
      <x:c r="M30" s="2"/>
      <x:c r="N30" s="2"/>
    </x:row>
    <x:row r="31" ht="20" customHeight="1">
      <x:c r="A31" s="2"/>
      <x:c r="B31" s="2"/>
      <x:c r="C31" s="2" t="n">
        <x:v>4</x:v>
      </x:c>
      <x:c r="D31" s="45" t="n">
        <x:f>($H$6+$H$7*((1-EXP(-C31/$H$10))/(C31/$H$10))+$H$8*(((1-EXP(-C31/$H$10))/(C31/$H$10))-EXP(-C31/$H$10))+$H$9*(((1-EXP(-C31/$H$11))/(C31/$H$11))-EXP(-C31/$H$11)))/100</x:f>
        <x:v>0.02475206881016112</x:v>
      </x:c>
      <x:c r="E31" s="8" t="n">
        <x:f>EXP(-C31*D31)</x:f>
        <x:v>0.90573521281569</x:v>
      </x:c>
      <x:c r="F31" s="8" t="n">
        <x:f>C31-$D$8</x:f>
        <x:v>3.915126625598905</x:v>
      </x:c>
      <x:c r="G31" s="45" t="n">
        <x:f>($K$6+$K$7*((1-EXP(-F31/$K$10))/(F31/$K$10))+$K$8*(((1-EXP(-F31/$K$10))/(F31/$K$10))-EXP(-F31/$K$10))+$K$9*(((1-EXP(-F31/$K$11))/(F31/$K$11))-EXP(-F31/$K$11)))/100</x:f>
        <x:v>0.024210203994580876</x:v>
      </x:c>
      <x:c r="H31" s="8" t="n">
        <x:f>EXP(-F31*G31)</x:f>
        <x:v>0.9095675481206539</x:v>
      </x:c>
      <x:c r="I31" s="21" t="n">
        <x:f>'Sources'!$H$104*E31</x:f>
        <x:v>90.573521281569</x:v>
      </x:c>
      <x:c r="J31" s="21" t="n">
        <x:f>'Sources'!$H$104*H31</x:f>
        <x:v>90.95675481206538</x:v>
      </x:c>
      <x:c r="K31" s="2"/>
      <x:c r="L31" s="2"/>
      <x:c r="M31" s="2"/>
      <x:c r="N31" s="2"/>
    </x:row>
    <x:row r="32" ht="20" customHeight="1">
      <x:c r="A32" s="2"/>
      <x:c r="B32" s="2"/>
      <x:c r="C32" s="2" t="n">
        <x:v>5</x:v>
      </x:c>
      <x:c r="D32" s="45" t="n">
        <x:f>($H$6+$H$7*((1-EXP(-C32/$H$10))/(C32/$H$10))+$H$8*(((1-EXP(-C32/$H$10))/(C32/$H$10))-EXP(-C32/$H$10))+$H$9*(((1-EXP(-C32/$H$11))/(C32/$H$11))-EXP(-C32/$H$11)))/100</x:f>
        <x:v>0.02506537586921553</x:v>
      </x:c>
      <x:c r="E32" s="8" t="n">
        <x:f>EXP(-C32*D32)</x:f>
        <x:v>0.8822084797164704</x:v>
      </x:c>
      <x:c r="F32" s="8" t="n">
        <x:f>C32-$D$8</x:f>
        <x:v>4.915126625598905</x:v>
      </x:c>
      <x:c r="G32" s="45" t="n">
        <x:f>($K$6+$K$7*((1-EXP(-F32/$K$10))/(F32/$K$10))+$K$8*(((1-EXP(-F32/$K$10))/(F32/$K$10))-EXP(-F32/$K$10))+$K$9*(((1-EXP(-F32/$K$11))/(F32/$K$11))-EXP(-F32/$K$11)))/100</x:f>
        <x:v>0.024387599951666887</x:v>
      </x:c>
      <x:c r="H32" s="8" t="n">
        <x:f>EXP(-F32*G32)</x:f>
        <x:v>0.8870373921096182</x:v>
      </x:c>
      <x:c r="I32" s="21" t="n">
        <x:f>'Sources'!$H$104*E32</x:f>
        <x:v>88.22084797164705</x:v>
      </x:c>
      <x:c r="J32" s="21" t="n">
        <x:f>'Sources'!$H$104*H32</x:f>
        <x:v>88.70373921096181</x:v>
      </x:c>
      <x:c r="K32" s="2"/>
      <x:c r="L32" s="2"/>
      <x:c r="M32" s="2"/>
      <x:c r="N32" s="2"/>
    </x:row>
    <x:row r="33" ht="20" customHeight="1">
      <x:c r="A33" s="2"/>
      <x:c r="B33" s="2"/>
      <x:c r="C33" s="2" t="n">
        <x:v>6</x:v>
      </x:c>
      <x:c r="D33" s="45" t="n">
        <x:f>($H$6+$H$7*((1-EXP(-C33/$H$10))/(C33/$H$10))+$H$8*(((1-EXP(-C33/$H$10))/(C33/$H$10))-EXP(-C33/$H$10))+$H$9*(((1-EXP(-C33/$H$11))/(C33/$H$11))-EXP(-C33/$H$11)))/100</x:f>
        <x:v>0.02545907943249917</x:v>
      </x:c>
      <x:c r="E33" s="8" t="n">
        <x:f>EXP(-C33*D33)</x:f>
        <x:v>0.8583404386095232</x:v>
      </x:c>
      <x:c r="F33" s="8" t="n">
        <x:f>C33-$D$8</x:f>
        <x:v>5.915126625598905</x:v>
      </x:c>
      <x:c r="G33" s="45" t="n">
        <x:f>($K$6+$K$7*((1-EXP(-F33/$K$10))/(F33/$K$10))+$K$8*(((1-EXP(-F33/$K$10))/(F33/$K$10))-EXP(-F33/$K$10))+$K$9*(((1-EXP(-F33/$K$11))/(F33/$K$11))-EXP(-F33/$K$11)))/100</x:f>
        <x:v>0.02467550911670992</x:v>
      </x:c>
      <x:c r="H33" s="8" t="n">
        <x:f>EXP(-F33*G33)</x:f>
        <x:v>0.8641933409393352</x:v>
      </x:c>
      <x:c r="I33" s="21" t="n">
        <x:f>'Sources'!$H$104*E33</x:f>
        <x:v>85.83404386095232</x:v>
      </x:c>
      <x:c r="J33" s="21" t="n">
        <x:f>'Sources'!$H$104*H33</x:f>
        <x:v>86.41933409393351</x:v>
      </x:c>
      <x:c r="K33" s="2"/>
      <x:c r="L33" s="2"/>
      <x:c r="M33" s="2"/>
      <x:c r="N33" s="2"/>
    </x:row>
    <x:row r="34" ht="20" customHeight="1">
      <x:c r="A34" s="2"/>
      <x:c r="B34" s="2"/>
      <x:c r="C34" s="2" t="n">
        <x:v>7</x:v>
      </x:c>
      <x:c r="D34" s="45" t="n">
        <x:f>($H$6+$H$7*((1-EXP(-C34/$H$10))/(C34/$H$10))+$H$8*(((1-EXP(-C34/$H$10))/(C34/$H$10))-EXP(-C34/$H$10))+$H$9*(((1-EXP(-C34/$H$11))/(C34/$H$11))-EXP(-C34/$H$11)))/100</x:f>
        <x:v>0.025872941291327792</x:v>
      </x:c>
      <x:c r="E34" s="8" t="n">
        <x:f>EXP(-C34*D34)</x:f>
        <x:v>0.8343430843934753</x:v>
      </x:c>
      <x:c r="F34" s="8" t="n">
        <x:f>C34-$D$8</x:f>
        <x:v>6.915126625598905</x:v>
      </x:c>
      <x:c r="G34" s="45" t="n">
        <x:f>($K$6+$K$7*((1-EXP(-F34/$K$10))/(F34/$K$10))+$K$8*(((1-EXP(-F34/$K$10))/(F34/$K$10))-EXP(-F34/$K$10))+$K$9*(((1-EXP(-F34/$K$11))/(F34/$K$11))-EXP(-F34/$K$11)))/100</x:f>
        <x:v>0.025025891755641433</x:v>
      </x:c>
      <x:c r="H34" s="8" t="n">
        <x:f>EXP(-F34*G34)</x:f>
        <x:v>0.8410894943943359</x:v>
      </x:c>
      <x:c r="I34" s="21" t="n">
        <x:f>'Sources'!$H$104*E34</x:f>
        <x:v>83.43430843934753</x:v>
      </x:c>
      <x:c r="J34" s="21" t="n">
        <x:f>'Sources'!$H$104*H34</x:f>
        <x:v>84.10894943943359</x:v>
      </x:c>
      <x:c r="K34" s="2"/>
      <x:c r="L34" s="2"/>
      <x:c r="M34" s="2"/>
      <x:c r="N34" s="2"/>
    </x:row>
    <x:row r="35" ht="20" customHeight="1">
      <x:c r="A35" s="2"/>
      <x:c r="B35" s="2"/>
      <x:c r="C35" s="2" t="n">
        <x:v>8</x:v>
      </x:c>
      <x:c r="D35" s="45" t="n">
        <x:f>($H$6+$H$7*((1-EXP(-C35/$H$10))/(C35/$H$10))+$H$8*(((1-EXP(-C35/$H$10))/(C35/$H$10))-EXP(-C35/$H$10))+$H$9*(((1-EXP(-C35/$H$11))/(C35/$H$11))-EXP(-C35/$H$11)))/100</x:f>
        <x:v>0.026274730857892364</x:v>
      </x:c>
      <x:c r="E35" s="8" t="n">
        <x:f>EXP(-C35*D35)</x:f>
        <x:v>0.81042389028327</x:v>
      </x:c>
      <x:c r="F35" s="8" t="n">
        <x:f>C35-$D$8</x:f>
        <x:v>7.915126625598905</x:v>
      </x:c>
      <x:c r="G35" s="45" t="n">
        <x:f>($K$6+$K$7*((1-EXP(-F35/$K$10))/(F35/$K$10))+$K$8*(((1-EXP(-F35/$K$10))/(F35/$K$10))-EXP(-F35/$K$10))+$K$9*(((1-EXP(-F35/$K$11))/(F35/$K$11))-EXP(-F35/$K$11)))/100</x:f>
        <x:v>0.025405778904717947</x:v>
      </x:c>
      <x:c r="H35" s="8" t="n">
        <x:f>EXP(-F35*G35)</x:f>
        <x:v>0.8178388578713439</x:v>
      </x:c>
      <x:c r="I35" s="21" t="n">
        <x:f>'Sources'!$H$104*E35</x:f>
        <x:v>81.042389028327</x:v>
      </x:c>
      <x:c r="J35" s="21" t="n">
        <x:f>'Sources'!$H$104*H35</x:f>
        <x:v>81.7838857871344</x:v>
      </x:c>
      <x:c r="K35" s="2"/>
      <x:c r="L35" s="2"/>
      <x:c r="M35" s="2"/>
      <x:c r="N35" s="2"/>
    </x:row>
    <x:row r="36" ht="20" customHeight="1">
      <x:c r="A36" s="2"/>
      <x:c r="B36" s="2"/>
      <x:c r="C36" s="2" t="n">
        <x:v>9</x:v>
      </x:c>
      <x:c r="D36" s="45" t="n">
        <x:f>($H$6+$H$7*((1-EXP(-C36/$H$10))/(C36/$H$10))+$H$8*(((1-EXP(-C36/$H$10))/(C36/$H$10))-EXP(-C36/$H$10))+$H$9*(((1-EXP(-C36/$H$11))/(C36/$H$11))-EXP(-C36/$H$11)))/100</x:f>
        <x:v>0.02664925068003292</x:v>
      </x:c>
      <x:c r="E36" s="8" t="n">
        <x:f>EXP(-C36*D36)</x:f>
        <x:v>0.7867511698330748</x:v>
      </x:c>
      <x:c r="F36" s="8" t="n">
        <x:f>C36-$D$8</x:f>
        <x:v>8.915126625598905</x:v>
      </x:c>
      <x:c r="G36" s="45" t="n">
        <x:f>($K$6+$K$7*((1-EXP(-F36/$K$10))/(F36/$K$10))+$K$8*(((1-EXP(-F36/$K$10))/(F36/$K$10))-EXP(-F36/$K$10))+$K$9*(((1-EXP(-F36/$K$11))/(F36/$K$11))-EXP(-F36/$K$11)))/100</x:f>
        <x:v>0.025793206104250937</x:v>
      </x:c>
      <x:c r="H36" s="8" t="n">
        <x:f>EXP(-F36*G36)</x:f>
        <x:v>0.7945735697408813</x:v>
      </x:c>
      <x:c r="I36" s="21" t="n">
        <x:f>'Sources'!$H$104*E36</x:f>
        <x:v>78.67511698330748</x:v>
      </x:c>
      <x:c r="J36" s="21" t="n">
        <x:f>'Sources'!$H$104*H36</x:f>
        <x:v>79.45735697408813</x:v>
      </x:c>
      <x:c r="K36" s="2"/>
      <x:c r="L36" s="2"/>
      <x:c r="M36" s="2"/>
      <x:c r="N36" s="2"/>
    </x:row>
    <x:row r="37" ht="20" customHeight="1">
      <x:c r="A37" s="2"/>
      <x:c r="B37" s="2"/>
      <x:c r="C37" s="2" t="n">
        <x:v>10</x:v>
      </x:c>
      <x:c r="D37" s="45" t="n">
        <x:f>($H$6+$H$7*((1-EXP(-C37/$H$10))/(C37/$H$10))+$H$8*(((1-EXP(-C37/$H$10))/(C37/$H$10))-EXP(-C37/$H$10))+$H$9*(((1-EXP(-C37/$H$11))/(C37/$H$11))-EXP(-C37/$H$11)))/100</x:f>
        <x:v>0.02699132967214366</x:v>
      </x:c>
      <x:c r="E37" s="8" t="n">
        <x:f>EXP(-C37*D37)</x:f>
        <x:v>0.7634456847112201</x:v>
      </x:c>
      <x:c r="F37" s="8" t="n">
        <x:f>C37-$D$8</x:f>
        <x:v>9.915126625598905</x:v>
      </x:c>
      <x:c r="G37" s="45" t="n">
        <x:f>($K$6+$K$7*((1-EXP(-F37/$K$10))/(F37/$K$10))+$K$8*(((1-EXP(-F37/$K$10))/(F37/$K$10))-EXP(-F37/$K$10))+$K$9*(((1-EXP(-F37/$K$11))/(F37/$K$11))-EXP(-F37/$K$11)))/100</x:f>
        <x:v>0.026174163915043187</x:v>
      </x:c>
      <x:c r="H37" s="8" t="n">
        <x:f>EXP(-F37*G37)</x:f>
        <x:v>0.7714216640481458</x:v>
      </x:c>
      <x:c r="I37" s="21" t="n">
        <x:f>'Sources'!$H$104*E37</x:f>
        <x:v>76.34456847112202</x:v>
      </x:c>
      <x:c r="J37" s="21" t="n">
        <x:f>'Sources'!$H$104*H37</x:f>
        <x:v>77.14216640481459</x:v>
      </x:c>
      <x:c r="K37" s="2"/>
      <x:c r="L37" s="2"/>
      <x:c r="M37" s="2"/>
      <x:c r="N37" s="2"/>
    </x:row>
    <x:row r="38" ht="20" customHeight="1">
      <x:c r="A38" s="2"/>
      <x:c r="B38" s="2"/>
      <x:c r="C38" s="2" t="n">
        <x:v>11</x:v>
      </x:c>
      <x:c r="D38" s="45" t="n">
        <x:f>($H$6+$H$7*((1-EXP(-C38/$H$10))/(C38/$H$10))+$H$8*(((1-EXP(-C38/$H$10))/(C38/$H$10))-EXP(-C38/$H$10))+$H$9*(((1-EXP(-C38/$H$11))/(C38/$H$11))-EXP(-C38/$H$11)))/100</x:f>
        <x:v>0.02730140914755336</x:v>
      </x:c>
      <x:c r="E38" s="8" t="n">
        <x:f>EXP(-C38*D38)</x:f>
        <x:v>0.7405845289383823</x:v>
      </x:c>
      <x:c r="F38" s="8" t="n">
        <x:f>C38-$D$8</x:f>
        <x:v>10.915126625598905</x:v>
      </x:c>
      <x:c r="G38" s="45" t="n">
        <x:f>($K$6+$K$7*((1-EXP(-F38/$K$10))/(F38/$K$10))+$K$8*(((1-EXP(-F38/$K$10))/(F38/$K$10))-EXP(-F38/$K$10))+$K$9*(((1-EXP(-F38/$K$11))/(F38/$K$11))-EXP(-F38/$K$11)))/100</x:f>
        <x:v>0.026540321265577684</x:v>
      </x:c>
      <x:c r="H38" s="8" t="n">
        <x:f>EXP(-F38*G38)</x:f>
        <x:v>0.7484948412244894</x:v>
      </x:c>
      <x:c r="I38" s="21" t="n">
        <x:f>'Sources'!$H$104*E38</x:f>
        <x:v>74.05845289383824</x:v>
      </x:c>
      <x:c r="J38" s="21" t="n">
        <x:f>'Sources'!$H$104*H38</x:f>
        <x:v>74.84948412244894</x:v>
      </x:c>
      <x:c r="K38" s="2"/>
      <x:c r="L38" s="2"/>
      <x:c r="M38" s="2"/>
      <x:c r="N38" s="2"/>
    </x:row>
    <x:row r="39" ht="20" customHeight="1">
      <x:c r="A39" s="2"/>
      <x:c r="B39" s="2"/>
      <x:c r="C39" s="2" t="n">
        <x:v>12</x:v>
      </x:c>
      <x:c r="D39" s="45" t="n">
        <x:f>($H$6+$H$7*((1-EXP(-C39/$H$10))/(C39/$H$10))+$H$8*(((1-EXP(-C39/$H$10))/(C39/$H$10))-EXP(-C39/$H$10))+$H$9*(((1-EXP(-C39/$H$11))/(C39/$H$11))-EXP(-C39/$H$11)))/100</x:f>
        <x:v>0.027582811674708153</x:v>
      </x:c>
      <x:c r="E39" s="8" t="n">
        <x:f>EXP(-C39*D39)</x:f>
        <x:v>0.7182096649496952</x:v>
      </x:c>
      <x:c r="F39" s="8" t="n">
        <x:f>C39-$D$8</x:f>
        <x:v>11.915126625598905</x:v>
      </x:c>
      <x:c r="G39" s="45" t="n">
        <x:f>($K$6+$K$7*((1-EXP(-F39/$K$10))/(F39/$K$10))+$K$8*(((1-EXP(-F39/$K$10))/(F39/$K$10))-EXP(-F39/$K$10))+$K$9*(((1-EXP(-F39/$K$11))/(F39/$K$11))-EXP(-F39/$K$11)))/100</x:f>
        <x:v>0.026887334804975592</x:v>
      </x:c>
      <x:c r="H39" s="8" t="n">
        <x:f>EXP(-F39*G39)</x:f>
        <x:v>0.7258833160082723</x:v>
      </x:c>
      <x:c r="I39" s="21" t="n">
        <x:f>'Sources'!$H$104*E39</x:f>
        <x:v>71.82096649496953</x:v>
      </x:c>
      <x:c r="J39" s="21" t="n">
        <x:f>'Sources'!$H$104*H39</x:f>
        <x:v>72.58833160082723</x:v>
      </x:c>
      <x:c r="K39" s="2"/>
      <x:c r="L39" s="2"/>
      <x:c r="M39" s="2"/>
      <x:c r="N39" s="2"/>
    </x:row>
    <x:row r="40" ht="20" customHeight="1">
      <x:c r="A40" s="2"/>
      <x:c r="B40" s="2"/>
      <x:c r="C40" s="2" t="n">
        <x:v>13</x:v>
      </x:c>
      <x:c r="D40" s="45" t="n">
        <x:f>($H$6+$H$7*((1-EXP(-C40/$H$10))/(C40/$H$10))+$H$8*(((1-EXP(-C40/$H$10))/(C40/$H$10))-EXP(-C40/$H$10))+$H$9*(((1-EXP(-C40/$H$11))/(C40/$H$11))-EXP(-C40/$H$11)))/100</x:f>
        <x:v>0.027840092863500292</x:v>
      </x:c>
      <x:c r="E40" s="8" t="n">
        <x:f>EXP(-C40*D40)</x:f>
        <x:v>0.6963372320227881</x:v>
      </x:c>
      <x:c r="F40" s="8" t="n">
        <x:f>C40-$D$8</x:f>
        <x:v>12.915126625598905</x:v>
      </x:c>
      <x:c r="G40" s="45" t="n">
        <x:f>($K$6+$K$7*((1-EXP(-F40/$K$10))/(F40/$K$10))+$K$8*(((1-EXP(-F40/$K$10))/(F40/$K$10))-EXP(-F40/$K$10))+$K$9*(((1-EXP(-F40/$K$11))/(F40/$K$11))-EXP(-F40/$K$11)))/100</x:f>
        <x:v>0.027213601388716757</x:v>
      </x:c>
      <x:c r="H40" s="8" t="n">
        <x:f>EXP(-F40*G40)</x:f>
        <x:v>0.7036549942902002</x:v>
      </x:c>
      <x:c r="I40" s="21" t="n">
        <x:f>'Sources'!$H$104*E40</x:f>
        <x:v>69.6337232022788</x:v>
      </x:c>
      <x:c r="J40" s="21" t="n">
        <x:f>'Sources'!$H$104*H40</x:f>
        <x:v>70.36549942902002</x:v>
      </x:c>
      <x:c r="K40" s="2"/>
      <x:c r="L40" s="2"/>
      <x:c r="M40" s="2"/>
      <x:c r="N40" s="2"/>
    </x:row>
    <x:row r="41" ht="20" customHeight="1">
      <x:c r="A41" s="2"/>
      <x:c r="B41" s="2"/>
      <x:c r="C41" s="2" t="n">
        <x:v>14</x:v>
      </x:c>
      <x:c r="D41" s="45" t="n">
        <x:f>($H$6+$H$7*((1-EXP(-C41/$H$10))/(C41/$H$10))+$H$8*(((1-EXP(-C41/$H$10))/(C41/$H$10))-EXP(-C41/$H$10))+$H$9*(((1-EXP(-C41/$H$11))/(C41/$H$11))-EXP(-C41/$H$11)))/100</x:f>
        <x:v>0.02807808248058561</x:v>
      </x:c>
      <x:c r="E41" s="8" t="n">
        <x:f>EXP(-C41*D41)</x:f>
        <x:v>0.6749658683954181</x:v>
      </x:c>
      <x:c r="F41" s="8" t="n">
        <x:f>C41-$D$8</x:f>
        <x:v>13.915126625598905</x:v>
      </x:c>
      <x:c r="G41" s="45" t="n">
        <x:f>($K$6+$K$7*((1-EXP(-F41/$K$10))/(F41/$K$10))+$K$8*(((1-EXP(-F41/$K$10))/(F41/$K$10))-EXP(-F41/$K$10))+$K$9*(((1-EXP(-F41/$K$11))/(F41/$K$11))-EXP(-F41/$K$11)))/100</x:f>
        <x:v>0.027519344608854714</x:v>
      </x:c>
      <x:c r="H41" s="8" t="n">
        <x:f>EXP(-F41*G41)</x:f>
        <x:v>0.6818571061363056</x:v>
      </x:c>
      <x:c r="I41" s="21" t="n">
        <x:f>'Sources'!$H$104*E41</x:f>
        <x:v>67.4965868395418</x:v>
      </x:c>
      <x:c r="J41" s="21" t="n">
        <x:f>'Sources'!$H$104*H41</x:f>
        <x:v>68.18571061363056</x:v>
      </x:c>
      <x:c r="K41" s="2"/>
      <x:c r="L41" s="2"/>
      <x:c r="M41" s="2"/>
      <x:c r="N41" s="2"/>
    </x:row>
    <x:row r="42" ht="20" customHeight="1">
      <x:c r="A42" s="2"/>
      <x:c r="B42" s="2"/>
      <x:c r="C42" s="2" t="n">
        <x:v>15</x:v>
      </x:c>
      <x:c r="D42" s="45" t="n">
        <x:f>($H$6+$H$7*((1-EXP(-C42/$H$10))/(C42/$H$10))+$H$8*(((1-EXP(-C42/$H$10))/(C42/$H$10))-EXP(-C42/$H$10))+$H$9*(((1-EXP(-C42/$H$11))/(C42/$H$11))-EXP(-C42/$H$11)))/100</x:f>
        <x:v>0.02830135813445157</x:v>
      </x:c>
      <x:c r="E42" s="8" t="n">
        <x:f>EXP(-C42*D42)</x:f>
        <x:v>0.6540834266229894</x:v>
      </x:c>
      <x:c r="F42" s="8" t="n">
        <x:f>C42-$D$8</x:f>
        <x:v>14.915126625598905</x:v>
      </x:c>
      <x:c r="G42" s="45" t="n">
        <x:f>($K$6+$K$7*((1-EXP(-F42/$K$10))/(F42/$K$10))+$K$8*(((1-EXP(-F42/$K$10))/(F42/$K$10))-EXP(-F42/$K$10))+$K$9*(((1-EXP(-F42/$K$11))/(F42/$K$11))-EXP(-F42/$K$11)))/100</x:f>
        <x:v>0.027805952223932735</x:v>
      </x:c>
      <x:c r="H42" s="8" t="n">
        <x:f>EXP(-F42*G42)</x:f>
        <x:v>0.6605190600952661</x:v>
      </x:c>
      <x:c r="I42" s="21" t="n">
        <x:f>'Sources'!$H$104*E42</x:f>
        <x:v>65.40834266229894</x:v>
      </x:c>
      <x:c r="J42" s="21" t="n">
        <x:f>'Sources'!$H$104*H42</x:f>
        <x:v>66.0519060095266</x:v>
      </x:c>
      <x:c r="K42" s="2"/>
      <x:c r="L42" s="2"/>
      <x:c r="M42" s="2"/>
      <x:c r="N42" s="2"/>
    </x:row>
    <x:row r="43" ht="20" customHeight="1">
      <x:c r="A43" s="2"/>
      <x:c r="B43" s="2"/>
      <x:c r="C43" s="2" t="n">
        <x:v>16</x:v>
      </x:c>
      <x:c r="D43" s="45" t="n">
        <x:f>($H$6+$H$7*((1-EXP(-C43/$H$10))/(C43/$H$10))+$H$8*(((1-EXP(-C43/$H$10))/(C43/$H$10))-EXP(-C43/$H$10))+$H$9*(((1-EXP(-C43/$H$11))/(C43/$H$11))-EXP(-C43/$H$11)))/100</x:f>
        <x:v>0.028513985230670755</x:v>
      </x:c>
      <x:c r="E43" s="8" t="n">
        <x:f>EXP(-C43*D43)</x:f>
        <x:v>0.6336720284415287</x:v>
      </x:c>
      <x:c r="F43" s="8" t="n">
        <x:f>C43-$D$8</x:f>
        <x:v>15.915126625598905</x:v>
      </x:c>
      <x:c r="G43" s="45" t="n">
        <x:f>($K$6+$K$7*((1-EXP(-F43/$K$10))/(F43/$K$10))+$K$8*(((1-EXP(-F43/$K$10))/(F43/$K$10))-EXP(-F43/$K$10))+$K$9*(((1-EXP(-F43/$K$11))/(F43/$K$11))-EXP(-F43/$K$11)))/100</x:f>
        <x:v>0.02807550124394289</x:v>
      </x:c>
      <x:c r="H43" s="8" t="n">
        <x:f>EXP(-F43*G43)</x:f>
        <x:v>0.6396557375868197</x:v>
      </x:c>
      <x:c r="I43" s="21" t="n">
        <x:f>'Sources'!$H$104*E43</x:f>
        <x:v>63.36720284415287</x:v>
      </x:c>
      <x:c r="J43" s="21" t="n">
        <x:f>'Sources'!$H$104*H43</x:f>
        <x:v>63.96557375868197</x:v>
      </x:c>
      <x:c r="K43" s="2"/>
      <x:c r="L43" s="2"/>
      <x:c r="M43" s="2"/>
      <x:c r="N43" s="2"/>
    </x:row>
    <x:row r="44" ht="20" customHeight="1">
      <x:c r="A44" s="2"/>
      <x:c r="B44" s="2"/>
      <x:c r="C44" s="2" t="n">
        <x:v>17</x:v>
      </x:c>
      <x:c r="D44" s="45" t="n">
        <x:f>($H$6+$H$7*((1-EXP(-C44/$H$10))/(C44/$H$10))+$H$8*(((1-EXP(-C44/$H$10))/(C44/$H$10))-EXP(-C44/$H$10))+$H$9*(((1-EXP(-C44/$H$11))/(C44/$H$11))-EXP(-C44/$H$11)))/100</x:f>
        <x:v>0.028719416450407417</x:v>
      </x:c>
      <x:c r="E44" s="8" t="n">
        <x:f>EXP(-C44*D44)</x:f>
        <x:v>0.6137116542307951</x:v>
      </x:c>
      <x:c r="F44" s="8" t="n">
        <x:f>C44-$D$8</x:f>
        <x:v>16.915126625598905</x:v>
      </x:c>
      <x:c r="G44" s="45" t="n">
        <x:f>($K$6+$K$7*((1-EXP(-F44/$K$10))/(F44/$K$10))+$K$8*(((1-EXP(-F44/$K$10))/(F44/$K$10))-EXP(-F44/$K$10))+$K$9*(((1-EXP(-F44/$K$11))/(F44/$K$11))-EXP(-F44/$K$11)))/100</x:f>
        <x:v>0.028330422671581795</x:v>
      </x:c>
      <x:c r="H44" s="8" t="n">
        <x:f>EXP(-F44*G44)</x:f>
        <x:v>0.6192707599401461</x:v>
      </x:c>
      <x:c r="I44" s="21" t="n">
        <x:f>'Sources'!$H$104*E44</x:f>
        <x:v>61.37116542307951</x:v>
      </x:c>
      <x:c r="J44" s="21" t="n">
        <x:f>'Sources'!$H$104*H44</x:f>
        <x:v>61.927075994014615</x:v>
      </x:c>
      <x:c r="K44" s="2"/>
      <x:c r="L44" s="2"/>
      <x:c r="M44" s="2"/>
      <x:c r="N44" s="2"/>
    </x:row>
    <x:row r="45" ht="20" customHeight="1">
      <x:c r="A45" s="2"/>
      <x:c r="B45" s="2"/>
      <x:c r="C45" s="2" t="n">
        <x:v>18</x:v>
      </x:c>
      <x:c r="D45" s="45" t="n">
        <x:f>($H$6+$H$7*((1-EXP(-C45/$H$10))/(C45/$H$10))+$H$8*(((1-EXP(-C45/$H$10))/(C45/$H$10))-EXP(-C45/$H$10))+$H$9*(((1-EXP(-C45/$H$11))/(C45/$H$11))-EXP(-C45/$H$11)))/100</x:f>
        <x:v>0.028920483016363577</x:v>
      </x:c>
      <x:c r="E45" s="8" t="n">
        <x:f>EXP(-C45*D45)</x:f>
        <x:v>0.5941825436462491</x:v>
      </x:c>
      <x:c r="F45" s="8" t="n">
        <x:f>C45-$D$8</x:f>
        <x:v>17.915126625598905</x:v>
      </x:c>
      <x:c r="G45" s="45" t="n">
        <x:f>($K$6+$K$7*((1-EXP(-F45/$K$10))/(F45/$K$10))+$K$8*(((1-EXP(-F45/$K$10))/(F45/$K$10))-EXP(-F45/$K$10))+$K$9*(((1-EXP(-F45/$K$11))/(F45/$K$11))-EXP(-F45/$K$11)))/100</x:f>
        <x:v>0.028573269565424258</x:v>
      </x:c>
      <x:c r="H45" s="8" t="n">
        <x:f>EXP(-F45*G45)</x:f>
        <x:v>0.5993594709778065</x:v>
      </x:c>
      <x:c r="I45" s="21" t="n">
        <x:f>'Sources'!$H$104*E45</x:f>
        <x:v>59.418254364624914</x:v>
      </x:c>
      <x:c r="J45" s="21" t="n">
        <x:f>'Sources'!$H$104*H45</x:f>
        <x:v>59.93594709778065</x:v>
      </x:c>
      <x:c r="K45" s="2"/>
      <x:c r="L45" s="2"/>
      <x:c r="M45" s="2"/>
      <x:c r="N45" s="2"/>
    </x:row>
    <x:row r="46" ht="20" customHeight="1">
      <x:c r="A46" s="2"/>
      <x:c r="B46" s="2"/>
      <x:c r="C46" s="2" t="n">
        <x:v>19</x:v>
      </x:c>
      <x:c r="D46" s="45" t="n">
        <x:f>($H$6+$H$7*((1-EXP(-C46/$H$10))/(C46/$H$10))+$H$8*(((1-EXP(-C46/$H$10))/(C46/$H$10))-EXP(-C46/$H$10))+$H$9*(((1-EXP(-C46/$H$11))/(C46/$H$11))-EXP(-C46/$H$11)))/100</x:f>
        <x:v>0.02911943541077266</x:v>
      </x:c>
      <x:c r="E46" s="8" t="n">
        <x:f>EXP(-C46*D46)</x:f>
        <x:v>0.5750666839600016</x:v>
      </x:c>
      <x:c r="F46" s="8" t="n">
        <x:f>C46-$D$8</x:f>
        <x:v>18.915126625598905</x:v>
      </x:c>
      <x:c r="G46" s="45" t="n">
        <x:f>($K$6+$K$7*((1-EXP(-F46/$K$10))/(F46/$K$10))+$K$8*(((1-EXP(-F46/$K$10))/(F46/$K$10))-EXP(-F46/$K$10))+$K$9*(((1-EXP(-F46/$K$11))/(F46/$K$11))-EXP(-F46/$K$11)))/100</x:f>
        <x:v>0.028806561001350907</x:v>
      </x:c>
      <x:c r="H46" s="8" t="n">
        <x:f>EXP(-F46*G46)</x:f>
        <x:v>0.5799115140932626</x:v>
      </x:c>
      <x:c r="I46" s="21" t="n">
        <x:f>'Sources'!$H$104*E46</x:f>
        <x:v>57.50666839600016</x:v>
      </x:c>
      <x:c r="J46" s="21" t="n">
        <x:f>'Sources'!$H$104*H46</x:f>
        <x:v>57.99115140932626</x:v>
      </x:c>
      <x:c r="K46" s="2"/>
      <x:c r="L46" s="2"/>
      <x:c r="M46" s="2"/>
      <x:c r="N46" s="2"/>
    </x:row>
    <x:row r="47" ht="20" customHeight="1">
      <x:c r="A47" s="2"/>
      <x:c r="B47" s="2"/>
      <x:c r="C47" s="2" t="n">
        <x:v>20</x:v>
      </x:c>
      <x:c r="D47" s="45" t="n">
        <x:f>($H$6+$H$7*((1-EXP(-C47/$H$10))/(C47/$H$10))+$H$8*(((1-EXP(-C47/$H$10))/(C47/$H$10))-EXP(-C47/$H$10))+$H$9*(((1-EXP(-C47/$H$11))/(C47/$H$11))-EXP(-C47/$H$11)))/100</x:f>
        <x:v>0.029318007624654446</x:v>
      </x:c>
      <x:c r="E47" s="8" t="n">
        <x:f>EXP(-C47*D47)</x:f>
        <x:v>0.5563486279787999</x:v>
      </x:c>
      <x:c r="F47" s="8" t="n">
        <x:f>C47-$D$8</x:f>
        <x:v>19.915126625598905</x:v>
      </x:c>
      <x:c r="G47" s="45" t="n">
        <x:f>($K$6+$K$7*((1-EXP(-F47/$K$10))/(F47/$K$10))+$K$8*(((1-EXP(-F47/$K$10))/(F47/$K$10))-EXP(-F47/$K$10))+$K$9*(((1-EXP(-F47/$K$11))/(F47/$K$11))-EXP(-F47/$K$11)))/100</x:f>
        <x:v>0.029032681304185813</x:v>
      </x:c>
      <x:c r="H47" s="8" t="n">
        <x:f>EXP(-F47*G47)</x:f>
        <x:v>0.5609129670441217</x:v>
      </x:c>
      <x:c r="I47" s="21" t="n">
        <x:f>'Sources'!$H$104*E47</x:f>
        <x:v>55.63486279787999</x:v>
      </x:c>
      <x:c r="J47" s="21" t="n">
        <x:f>'Sources'!$H$104*H47</x:f>
        <x:v>56.09129670441217</x:v>
      </x:c>
      <x:c r="K47" s="2"/>
      <x:c r="L47" s="2"/>
      <x:c r="M47" s="2"/>
      <x:c r="N47" s="2"/>
    </x:row>
    <x:row r="48" ht="20" customHeight="1">
      <x:c r="A48" s="2"/>
      <x:c r="B48" s="2"/>
      <x:c r="C48" s="2" t="n">
        <x:v>21</x:v>
      </x:c>
      <x:c r="D48" s="45" t="n">
        <x:f>($H$6+$H$7*((1-EXP(-C48/$H$10))/(C48/$H$10))+$H$8*(((1-EXP(-C48/$H$10))/(C48/$H$10))-EXP(-C48/$H$10))+$H$9*(((1-EXP(-C48/$H$11))/(C48/$H$11))-EXP(-C48/$H$11)))/100</x:f>
        <x:v>0.02951748952526845</x:v>
      </x:c>
      <x:c r="E48" s="8" t="n">
        <x:f>EXP(-C48*D48)</x:f>
        <x:v>0.5380158383019958</x:v>
      </x:c>
      <x:c r="F48" s="8" t="n">
        <x:f>C48-$D$8</x:f>
        <x:v>20.915126625598905</x:v>
      </x:c>
      <x:c r="G48" s="45" t="n">
        <x:f>($K$6+$K$7*((1-EXP(-F48/$K$10))/(F48/$K$10))+$K$8*(((1-EXP(-F48/$K$10))/(F48/$K$10))-EXP(-F48/$K$10))+$K$9*(((1-EXP(-F48/$K$11))/(F48/$K$11))-EXP(-F48/$K$11)))/100</x:f>
        <x:v>0.02925381909423914</x:v>
      </x:c>
      <x:c r="H48" s="8" t="n">
        <x:f>EXP(-F48*G48)</x:f>
        <x:v>0.5423480469239012</x:v>
      </x:c>
      <x:c r="I48" s="21" t="n">
        <x:f>'Sources'!$H$104*E48</x:f>
        <x:v>53.80158383019958</x:v>
      </x:c>
      <x:c r="J48" s="21" t="n">
        <x:f>'Sources'!$H$104*H48</x:f>
        <x:v>54.234804692390114</x:v>
      </x:c>
      <x:c r="K48" s="2"/>
      <x:c r="L48" s="2"/>
      <x:c r="M48" s="2"/>
      <x:c r="N48" s="2"/>
    </x:row>
    <x:row r="49" ht="20" customHeight="1">
      <x:c r="A49" s="2"/>
      <x:c r="B49" s="2"/>
      <x:c r="C49" s="2" t="n">
        <x:v>22</x:v>
      </x:c>
      <x:c r="D49" s="45" t="n">
        <x:f>($H$6+$H$7*((1-EXP(-C49/$H$10))/(C49/$H$10))+$H$8*(((1-EXP(-C49/$H$10))/(C49/$H$10))-EXP(-C49/$H$10))+$H$9*(((1-EXP(-C49/$H$11))/(C49/$H$11))-EXP(-C49/$H$11)))/100</x:f>
        <x:v>0.029718798573711718</x:v>
      </x:c>
      <x:c r="E49" s="8" t="n">
        <x:f>EXP(-C49*D49)</x:f>
        <x:v>0.5200587106823232</x:v>
      </x:c>
      <x:c r="F49" s="8" t="n">
        <x:f>C49-$D$8</x:f>
        <x:v>21.915126625598905</x:v>
      </x:c>
      <x:c r="G49" s="45" t="n">
        <x:f>($K$6+$K$7*((1-EXP(-F49/$K$10))/(F49/$K$10))+$K$8*(((1-EXP(-F49/$K$10))/(F49/$K$10))-EXP(-F49/$K$10))+$K$9*(((1-EXP(-F49/$K$11))/(F49/$K$11))-EXP(-F49/$K$11)))/100</x:f>
        <x:v>0.029471934622434148</x:v>
      </x:c>
      <x:c r="H49" s="8" t="n">
        <x:f>EXP(-F49*G49)</x:f>
        <x:v>0.5242004240469463</x:v>
      </x:c>
      <x:c r="I49" s="21" t="n">
        <x:f>'Sources'!$H$104*E49</x:f>
        <x:v>52.005871068232324</x:v>
      </x:c>
      <x:c r="J49" s="21" t="n">
        <x:f>'Sources'!$H$104*H49</x:f>
        <x:v>52.420042404694634</x:v>
      </x:c>
      <x:c r="K49" s="2"/>
      <x:c r="L49" s="2"/>
      <x:c r="M49" s="2"/>
      <x:c r="N49" s="2"/>
    </x:row>
    <x:row r="50" ht="20" customHeight="1">
      <x:c r="A50" s="2"/>
      <x:c r="B50" s="2"/>
      <x:c r="C50" s="2" t="n">
        <x:v>23</x:v>
      </x:c>
      <x:c r="D50" s="45" t="n">
        <x:f>($H$6+$H$7*((1-EXP(-C50/$H$10))/(C50/$H$10))+$H$8*(((1-EXP(-C50/$H$10))/(C50/$H$10))-EXP(-C50/$H$10))+$H$9*(((1-EXP(-C50/$H$11))/(C50/$H$11))-EXP(-C50/$H$11)))/100</x:f>
        <x:v>0.02992254625971702</x:v>
      </x:c>
      <x:c r="E50" s="8" t="n">
        <x:f>EXP(-C50*D50)</x:f>
        <x:v>0.5024703910977557</x:v>
      </x:c>
      <x:c r="F50" s="8" t="n">
        <x:f>C50-$D$8</x:f>
        <x:v>22.915126625598905</x:v>
      </x:c>
      <x:c r="G50" s="45" t="n">
        <x:f>($K$6+$K$7*((1-EXP(-F50/$K$10))/(F50/$K$10))+$K$8*(((1-EXP(-F50/$K$10))/(F50/$K$10))-EXP(-F50/$K$10))+$K$9*(((1-EXP(-F50/$K$11))/(F50/$K$11))-EXP(-F50/$K$11)))/100</x:f>
        <x:v>0.029688746844734257</x:v>
      </x:c>
      <x:c r="H50" s="8" t="n">
        <x:f>EXP(-F50*G50)</x:f>
        <x:v>0.5064541952197008</x:v>
      </x:c>
      <x:c r="I50" s="21" t="n">
        <x:f>'Sources'!$H$104*E50</x:f>
        <x:v>50.24703910977557</x:v>
      </x:c>
      <x:c r="J50" s="21" t="n">
        <x:f>'Sources'!$H$104*H50</x:f>
        <x:v>50.645419521970084</x:v>
      </x:c>
      <x:c r="K50" s="2"/>
      <x:c r="L50" s="2"/>
      <x:c r="M50" s="2"/>
      <x:c r="N50" s="2"/>
    </x:row>
    <x:row r="51" ht="20" customHeight="1">
      <x:c r="A51" s="2"/>
      <x:c r="B51" s="2"/>
      <x:c r="C51" s="2" t="n">
        <x:v>24</x:v>
      </x:c>
      <x:c r="D51" s="45" t="n">
        <x:f>($H$6+$H$7*((1-EXP(-C51/$H$10))/(C51/$H$10))+$H$8*(((1-EXP(-C51/$H$10))/(C51/$H$10))-EXP(-C51/$H$10))+$H$9*(((1-EXP(-C51/$H$11))/(C51/$H$11))-EXP(-C51/$H$11)))/100</x:f>
        <x:v>0.030129097137816814</x:v>
      </x:c>
      <x:c r="E51" s="8" t="n">
        <x:f>EXP(-C51*D51)</x:f>
        <x:v>0.4852464701225709</x:v>
      </x:c>
      <x:c r="F51" s="8" t="n">
        <x:f>C51-$D$8</x:f>
        <x:v>23.915126625598905</x:v>
      </x:c>
      <x:c r="G51" s="45" t="n">
        <x:f>($K$6+$K$7*((1-EXP(-F51/$K$10))/(F51/$K$10))+$K$8*(((1-EXP(-F51/$K$10))/(F51/$K$10))-EXP(-F51/$K$10))+$K$9*(((1-EXP(-F51/$K$11))/(F51/$K$11))-EXP(-F51/$K$11)))/100</x:f>
        <x:v>0.029905733936062027</x:v>
      </x:c>
      <x:c r="H51" s="8" t="n">
        <x:f>EXP(-F51*G51)</x:f>
        <x:v>0.48909456980934396</x:v>
      </x:c>
      <x:c r="I51" s="21" t="n">
        <x:f>'Sources'!$H$104*E51</x:f>
        <x:v>48.52464701225709</x:v>
      </x:c>
      <x:c r="J51" s="21" t="n">
        <x:f>'Sources'!$H$104*H51</x:f>
        <x:v>48.909456980934394</x:v>
      </x:c>
      <x:c r="K51" s="2"/>
      <x:c r="L51" s="2"/>
      <x:c r="M51" s="2"/>
      <x:c r="N51" s="2"/>
    </x:row>
    <x:row r="52" ht="20" customHeight="1">
      <x:c r="A52" s="2"/>
      <x:c r="B52" s="2"/>
      <x:c r="C52" s="2" t="n">
        <x:v>25</x:v>
      </x:c>
      <x:c r="D52" s="45" t="n">
        <x:f>($H$6+$H$7*((1-EXP(-C52/$H$10))/(C52/$H$10))+$H$8*(((1-EXP(-C52/$H$10))/(C52/$H$10))-EXP(-C52/$H$10))+$H$9*(((1-EXP(-C52/$H$11))/(C52/$H$11))-EXP(-C52/$H$11)))/100</x:f>
        <x:v>0.030338619833495263</x:v>
      </x:c>
      <x:c r="E52" s="8" t="n">
        <x:f>EXP(-C52*D52)</x:f>
        <x:v>0.46838461397839276</x:v>
      </x:c>
      <x:c r="F52" s="8" t="n">
        <x:f>C52-$D$8</x:f>
        <x:v>24.915126625598905</x:v>
      </x:c>
      <x:c r="G52" s="45" t="n">
        <x:f>($K$6+$K$7*((1-EXP(-F52/$K$10))/(F52/$K$10))+$K$8*(((1-EXP(-F52/$K$10))/(F52/$K$10))-EXP(-F52/$K$10))+$K$9*(((1-EXP(-F52/$K$11))/(F52/$K$11))-EXP(-F52/$K$11)))/100</x:f>
        <x:v>0.03012414263822434</x:v>
      </x:c>
      <x:c r="H52" s="8" t="n">
        <x:f>EXP(-F52*G52)</x:f>
        <x:v>0.47210831994398317</x:v>
      </x:c>
      <x:c r="I52" s="21" t="n">
        <x:f>'Sources'!$H$104*E52</x:f>
        <x:v>46.838461397839275</x:v>
      </x:c>
      <x:c r="J52" s="21" t="n">
        <x:f>'Sources'!$H$104*H52</x:f>
        <x:v>47.21083199439832</x:v>
      </x:c>
      <x:c r="K52" s="2"/>
      <x:c r="L52" s="2"/>
      <x:c r="M52" s="2"/>
      <x:c r="N52" s="2"/>
    </x:row>
    <x:row r="53" ht="20" customHeight="1">
      <x:c r="A53" s="2"/>
      <x:c r="B53" s="2"/>
      <x:c r="C53" s="2" t="n">
        <x:v>26</x:v>
      </x:c>
      <x:c r="D53" s="45" t="n">
        <x:f>($H$6+$H$7*((1-EXP(-C53/$H$10))/(C53/$H$10))+$H$8*(((1-EXP(-C53/$H$10))/(C53/$H$10))-EXP(-C53/$H$10))+$H$9*(((1-EXP(-C53/$H$11))/(C53/$H$11))-EXP(-C53/$H$11)))/100</x:f>
        <x:v>0.03055113022181621</x:v>
      </x:c>
      <x:c r="E53" s="8" t="n">
        <x:f>EXP(-C53*D53)</x:f>
        <x:v>0.4518841732920249</x:v>
      </x:c>
      <x:c r="F53" s="8" t="n">
        <x:f>C53-$D$8</x:f>
        <x:v>25.915126625598905</x:v>
      </x:c>
      <x:c r="G53" s="45" t="n">
        <x:f>($K$6+$K$7*((1-EXP(-F53/$K$10))/(F53/$K$10))+$K$8*(((1-EXP(-F53/$K$10))/(F53/$K$10))-EXP(-F53/$K$10))+$K$9*(((1-EXP(-F53/$K$11))/(F53/$K$11))-EXP(-F53/$K$11)))/100</x:f>
        <x:v>0.030345003107834934</x:v>
      </x:c>
      <x:c r="H53" s="8" t="n">
        <x:f>EXP(-F53*G53)</x:f>
        <x:v>0.45548404151292143</x:v>
      </x:c>
      <x:c r="I53" s="21" t="n">
        <x:f>'Sources'!$H$104*E53</x:f>
        <x:v>45.188417329202494</x:v>
      </x:c>
      <x:c r="J53" s="21" t="n">
        <x:f>'Sources'!$H$104*H53</x:f>
        <x:v>45.54840415129215</x:v>
      </x:c>
      <x:c r="K53" s="2"/>
      <x:c r="L53" s="2"/>
      <x:c r="M53" s="2"/>
      <x:c r="N53" s="2"/>
    </x:row>
    <x:row r="54" ht="20" customHeight="1">
      <x:c r="A54" s="2"/>
      <x:c r="B54" s="2"/>
      <x:c r="C54" s="2" t="n">
        <x:v>27</x:v>
      </x:c>
      <x:c r="D54" s="45" t="n">
        <x:f>($H$6+$H$7*((1-EXP(-C54/$H$10))/(C54/$H$10))+$H$8*(((1-EXP(-C54/$H$10))/(C54/$H$10))-EXP(-C54/$H$10))+$H$9*(((1-EXP(-C54/$H$11))/(C54/$H$11))-EXP(-C54/$H$11)))/100</x:f>
        <x:v>0.030766527411986145</x:v>
      </x:c>
      <x:c r="E54" s="8" t="n">
        <x:f>EXP(-C54*D54)</x:f>
        <x:v>0.43574579697550975</x:v>
      </x:c>
      <x:c r="F54" s="8" t="n">
        <x:f>C54-$D$8</x:f>
        <x:v>26.915126625598905</x:v>
      </x:c>
      <x:c r="G54" s="45" t="n">
        <x:f>($K$6+$K$7*((1-EXP(-F54/$K$10))/(F54/$K$10))+$K$8*(((1-EXP(-F54/$K$10))/(F54/$K$10))-EXP(-F54/$K$10))+$K$9*(((1-EXP(-F54/$K$11))/(F54/$K$11))-EXP(-F54/$K$11)))/100</x:f>
        <x:v>0.03056914688029747</x:v>
      </x:c>
      <x:c r="H54" s="8" t="n">
        <x:f>EXP(-F54*G54)</x:f>
        <x:v>0.43921226688108483</x:v>
      </x:c>
      <x:c r="I54" s="21" t="n">
        <x:f>'Sources'!$H$104*E54</x:f>
        <x:v>43.57457969755097</x:v>
      </x:c>
      <x:c r="J54" s="21" t="n">
        <x:f>'Sources'!$H$104*H54</x:f>
        <x:v>43.92122668810848</x:v>
      </x:c>
      <x:c r="K54" s="2"/>
      <x:c r="L54" s="2"/>
      <x:c r="M54" s="2"/>
      <x:c r="N54" s="2"/>
    </x:row>
    <x:row r="55" ht="20" customHeight="1">
      <x:c r="A55" s="2"/>
      <x:c r="B55" s="2"/>
      <x:c r="C55" s="2" t="n">
        <x:v>28</x:v>
      </x:c>
      <x:c r="D55" s="45" t="n">
        <x:f>($H$6+$H$7*((1-EXP(-C55/$H$10))/(C55/$H$10))+$H$8*(((1-EXP(-C55/$H$10))/(C55/$H$10))-EXP(-C55/$H$10))+$H$9*(((1-EXP(-C55/$H$11))/(C55/$H$11))-EXP(-C55/$H$11)))/100</x:f>
        <x:v>0.030984623358633768</x:v>
      </x:c>
      <x:c r="E55" s="8" t="n">
        <x:f>EXP(-C55*D55)</x:f>
        <x:v>0.4199710687349465</x:v>
      </x:c>
      <x:c r="F55" s="8" t="n">
        <x:f>C55-$D$8</x:f>
        <x:v>27.915126625598905</x:v>
      </x:c>
      <x:c r="G55" s="45" t="n">
        <x:f>($K$6+$K$7*((1-EXP(-F55/$K$10))/(F55/$K$10))+$K$8*(((1-EXP(-F55/$K$10))/(F55/$K$10))-EXP(-F55/$K$10))+$K$9*(((1-EXP(-F55/$K$11))/(F55/$K$11))-EXP(-F55/$K$11)))/100</x:f>
        <x:v>0.030797226272239006</x:v>
      </x:c>
      <x:c r="H55" s="8" t="n">
        <x:f>EXP(-F55*G55)</x:f>
        <x:v>0.42328546427509134</x:v>
      </x:c>
      <x:c r="I55" s="21" t="n">
        <x:f>'Sources'!$H$104*E55</x:f>
        <x:v>41.99710687349465</x:v>
      </x:c>
      <x:c r="J55" s="21" t="n">
        <x:f>'Sources'!$H$104*H55</x:f>
        <x:v>42.32854642750913</x:v>
      </x:c>
      <x:c r="K55" s="2"/>
      <x:c r="L55" s="2"/>
      <x:c r="M55" s="2"/>
      <x:c r="N55" s="2"/>
    </x:row>
    <x:row r="56" ht="20" customHeight="1">
      <x:c r="A56" s="2"/>
      <x:c r="B56" s="2"/>
      <x:c r="C56" s="2" t="n">
        <x:v>29</x:v>
      </x:c>
      <x:c r="D56" s="45" t="n">
        <x:f>($H$6+$H$7*((1-EXP(-C56/$H$10))/(C56/$H$10))+$H$8*(((1-EXP(-C56/$H$10))/(C56/$H$10))-EXP(-C56/$H$10))+$H$9*(((1-EXP(-C56/$H$11))/(C56/$H$11))-EXP(-C56/$H$11)))/100</x:f>
        <x:v>0.03120516696556222</x:v>
      </x:c>
      <x:c r="E56" s="8" t="n">
        <x:f>EXP(-C56*D56)</x:f>
        <x:v>0.4045621766232509</x:v>
      </x:c>
      <x:c r="F56" s="8" t="n">
        <x:f>C56-$D$8</x:f>
        <x:v>28.915126625598905</x:v>
      </x:c>
      <x:c r="G56" s="45" t="n">
        <x:f>($K$6+$K$7*((1-EXP(-F56/$K$10))/(F56/$K$10))+$K$8*(((1-EXP(-F56/$K$10))/(F56/$K$10))-EXP(-F56/$K$10))+$K$9*(((1-EXP(-F56/$K$11))/(F56/$K$11))-EXP(-F56/$K$11)))/100</x:f>
        <x:v>0.031029734066752516</x:v>
      </x:c>
      <x:c r="H56" s="8" t="n">
        <x:f>EXP(-F56*G56)</x:f>
        <x:v>0.40769795313021384</x:v>
      </x:c>
      <x:c r="I56" s="21" t="n">
        <x:f>'Sources'!$H$104*E56</x:f>
        <x:v>40.45621766232509</x:v>
      </x:c>
      <x:c r="J56" s="21" t="n">
        <x:f>'Sources'!$H$104*H56</x:f>
        <x:v>40.76979531302138</x:v>
      </x:c>
      <x:c r="K56" s="2"/>
      <x:c r="L56" s="2"/>
      <x:c r="M56" s="2"/>
      <x:c r="N56" s="2"/>
    </x:row>
    <x:row r="57" ht="20" customHeight="1">
      <x:c r="A57" s="2"/>
      <x:c r="B57" s="2"/>
      <x:c r="C57" s="2" t="n">
        <x:v>30</x:v>
      </x:c>
      <x:c r="D57" s="45" t="n">
        <x:f>($H$6+$H$7*((1-EXP(-C57/$H$10))/(C57/$H$10))+$H$8*(((1-EXP(-C57/$H$10))/(C57/$H$10))-EXP(-C57/$H$10))+$H$9*(((1-EXP(-C57/$H$11))/(C57/$H$11))-EXP(-C57/$H$11)))/100</x:f>
        <x:v>0.03142786351390601</x:v>
      </x:c>
      <x:c r="E57" s="8" t="n">
        <x:f>EXP(-C57*D57)</x:f>
        <x:v>0.38952162106506116</x:v>
      </x:c>
      <x:c r="F57" s="8" t="n">
        <x:f>C57-$D$8</x:f>
        <x:v>29.915126625598905</x:v>
      </x:c>
      <x:c r="G57" s="45" t="n">
        <x:f>($K$6+$K$7*((1-EXP(-F57/$K$10))/(F57/$K$10))+$K$8*(((1-EXP(-F57/$K$10))/(F57/$K$10))-EXP(-F57/$K$10))+$K$9*(((1-EXP(-F57/$K$11))/(F57/$K$11))-EXP(-F57/$K$11)))/100</x:f>
        <x:v>0.03126702270874603</x:v>
      </x:c>
      <x:c r="H57" s="8" t="n">
        <x:f>EXP(-F57*G57)</x:f>
        <x:v>0.39244575955030814</x:v>
      </x:c>
      <x:c r="I57" s="21" t="n">
        <x:f>'Sources'!$H$104*E57</x:f>
        <x:v>38.952162106506115</x:v>
      </x:c>
      <x:c r="J57" s="21" t="n">
        <x:f>'Sources'!$H$104*H57</x:f>
        <x:v>39.24457595503081</x:v>
      </x:c>
      <x:c r="K57" s="2"/>
      <x:c r="L57" s="2"/>
      <x:c r="M57" s="2"/>
      <x:c r="N57" s="2"/>
    </x:row>
    <x:row r="58" ht="2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2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20" customHeight="1">
      <x:c r="A60" s="2"/>
      <x:c r="B60" s="2"/>
      <x:c r="C60" s="23" t="str">
        <x:v>Sealed final predictions below are inputs. The RMSE aggregation is recalculated; weights are not re-optimised.</x:v>
      </x:c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2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34" customHeight="1">
      <x:c r="A62" s="2"/>
      <x:c r="B62" s="2"/>
      <x:c r="C62" s="17" t="str">
        <x:v>End month</x:v>
      </x:c>
      <x:c r="D62" s="18" t="str">
        <x:v>Five-year zero</x:v>
      </x:c>
      <x:c r="E62" s="18" t="str">
        <x:v>Duration match</x:v>
      </x:c>
      <x:c r="F62" s="18" t="str">
        <x:v>Key-rate hedge</x:v>
      </x:c>
      <x:c r="G62" s="19" t="str">
        <x:v>Covariance hedge</x:v>
      </x:c>
      <x:c r="H62" s="2"/>
      <x:c r="I62" s="2"/>
      <x:c r="J62" s="2"/>
      <x:c r="K62" s="2"/>
      <x:c r="L62" s="2"/>
      <x:c r="M62" s="2"/>
      <x:c r="N62" s="2"/>
    </x:row>
    <x:row r="63" ht="20" customHeight="1">
      <x:c r="A63" s="2"/>
      <x:c r="B63" s="2"/>
      <x:c r="C63" s="61" t="d">
        <x:v>2019-01-01T00:00:00.000Z</x:v>
      </x:c>
      <x:c r="D63" s="62" t="n">
        <x:v>-0.0021994774163237064</x:v>
      </x:c>
      <x:c r="E63" s="62" t="n">
        <x:v>-0.000709822784214821</x:v>
      </x:c>
      <x:c r="F63" s="62" t="n">
        <x:v>0.00004910042488413422</x:v>
      </x:c>
      <x:c r="G63" s="62" t="n">
        <x:v>0.00010647115338087056</x:v>
      </x:c>
      <x:c r="H63" s="2"/>
      <x:c r="I63" s="2"/>
      <x:c r="J63" s="2"/>
      <x:c r="K63" s="2"/>
      <x:c r="L63" s="2"/>
      <x:c r="M63" s="2"/>
      <x:c r="N63" s="2"/>
    </x:row>
    <x:row r="64" ht="20" customHeight="1">
      <x:c r="A64" s="2"/>
      <x:c r="B64" s="2"/>
      <x:c r="C64" s="61" t="d">
        <x:v>2019-02-01T00:00:00.000Z</x:v>
      </x:c>
      <x:c r="D64" s="62" t="n">
        <x:v>0.007938806266982039</x:v>
      </x:c>
      <x:c r="E64" s="62" t="n">
        <x:v>-0.00050157315013209</x:v>
      </x:c>
      <x:c r="F64" s="62" t="n">
        <x:v>0.00031546328038734256</x:v>
      </x:c>
      <x:c r="G64" s="62" t="n">
        <x:v>0.0002157397328660345</x:v>
      </x:c>
      <x:c r="H64" s="2"/>
      <x:c r="I64" s="2"/>
      <x:c r="J64" s="2"/>
      <x:c r="K64" s="2"/>
      <x:c r="L64" s="2"/>
      <x:c r="M64" s="2"/>
      <x:c r="N64" s="2"/>
    </x:row>
    <x:row r="65" ht="20" customHeight="1">
      <x:c r="A65" s="2"/>
      <x:c r="B65" s="2"/>
      <x:c r="C65" s="61" t="d">
        <x:v>2019-03-01T00:00:00.000Z</x:v>
      </x:c>
      <x:c r="D65" s="62" t="n">
        <x:v>-0.026143606620880742</x:v>
      </x:c>
      <x:c r="E65" s="62" t="n">
        <x:v>0.0015482091017684052</x:v>
      </x:c>
      <x:c r="F65" s="62" t="n">
        <x:v>-0.0009768959301081615</x:v>
      </x:c>
      <x:c r="G65" s="62" t="n">
        <x:v>-0.0006821803328790895</x:v>
      </x:c>
      <x:c r="H65" s="2"/>
      <x:c r="I65" s="2"/>
      <x:c r="J65" s="2"/>
      <x:c r="K65" s="2"/>
      <x:c r="L65" s="2"/>
      <x:c r="M65" s="2"/>
      <x:c r="N65" s="2"/>
    </x:row>
    <x:row r="66" ht="20" customHeight="1">
      <x:c r="A66" s="2"/>
      <x:c r="B66" s="2"/>
      <x:c r="C66" s="61" t="d">
        <x:v>2019-04-01T00:00:00.000Z</x:v>
      </x:c>
      <x:c r="D66" s="62" t="n">
        <x:v>0.01270766159395003</x:v>
      </x:c>
      <x:c r="E66" s="62" t="n">
        <x:v>0.0003687682562683752</x:v>
      </x:c>
      <x:c r="F66" s="62" t="n">
        <x:v>0.000285379849893395</x:v>
      </x:c>
      <x:c r="G66" s="62" t="n">
        <x:v>0.00021810478583836625</x:v>
      </x:c>
      <x:c r="H66" s="2"/>
      <x:c r="I66" s="2"/>
      <x:c r="J66" s="2"/>
      <x:c r="K66" s="2"/>
      <x:c r="L66" s="2"/>
      <x:c r="M66" s="2"/>
      <x:c r="N66" s="2"/>
    </x:row>
    <x:row r="67" ht="20" customHeight="1">
      <x:c r="A67" s="2"/>
      <x:c r="B67" s="2"/>
      <x:c r="C67" s="61" t="d">
        <x:v>2019-05-01T00:00:00.000Z</x:v>
      </x:c>
      <x:c r="D67" s="62" t="n">
        <x:v>-0.031971445570814216</x:v>
      </x:c>
      <x:c r="E67" s="62" t="n">
        <x:v>-0.0002700840233248108</x:v>
      </x:c>
      <x:c r="F67" s="62" t="n">
        <x:v>-0.0006557085656730148</x:v>
      </x:c>
      <x:c r="G67" s="62" t="n">
        <x:v>-0.00031324693169735825</x:v>
      </x:c>
      <x:c r="H67" s="2"/>
      <x:c r="I67" s="2"/>
      <x:c r="J67" s="2"/>
      <x:c r="K67" s="2"/>
      <x:c r="L67" s="2"/>
      <x:c r="M67" s="2"/>
      <x:c r="N67" s="2"/>
    </x:row>
    <x:row r="68" ht="20" customHeight="1">
      <x:c r="A68" s="2"/>
      <x:c r="B68" s="2"/>
      <x:c r="C68" s="61" t="d">
        <x:v>2019-06-01T00:00:00.000Z</x:v>
      </x:c>
      <x:c r="D68" s="62" t="n">
        <x:v>-0.0022599375929749903</x:v>
      </x:c>
      <x:c r="E68" s="62" t="n">
        <x:v>0.00008504687490953204</x:v>
      </x:c>
      <x:c r="F68" s="62" t="n">
        <x:v>0.000020910553250010893</x:v>
      </x:c>
      <x:c r="G68" s="62" t="n">
        <x:v>0.00013819082276554317</x:v>
      </x:c>
      <x:c r="H68" s="2"/>
      <x:c r="I68" s="2"/>
      <x:c r="J68" s="2"/>
      <x:c r="K68" s="2"/>
      <x:c r="L68" s="2"/>
      <x:c r="M68" s="2"/>
      <x:c r="N68" s="2"/>
    </x:row>
    <x:row r="69" ht="20" customHeight="1">
      <x:c r="A69" s="2"/>
      <x:c r="B69" s="2"/>
      <x:c r="C69" s="61" t="d">
        <x:v>2019-07-01T00:00:00.000Z</x:v>
      </x:c>
      <x:c r="D69" s="62" t="n">
        <x:v>-0.003858592717781535</x:v>
      </x:c>
      <x:c r="E69" s="62" t="n">
        <x:v>-0.0005324299849485387</x:v>
      </x:c>
      <x:c r="F69" s="62" t="n">
        <x:v>-0.000049918493982329304</x:v>
      </x:c>
      <x:c r="G69" s="62" t="n">
        <x:v>-0.00008455452009499455</x:v>
      </x:c>
      <x:c r="H69" s="2"/>
      <x:c r="I69" s="2"/>
      <x:c r="J69" s="2"/>
      <x:c r="K69" s="2"/>
      <x:c r="L69" s="2"/>
      <x:c r="M69" s="2"/>
      <x:c r="N69" s="2"/>
    </x:row>
    <x:row r="70" ht="20" customHeight="1">
      <x:c r="A70" s="2"/>
      <x:c r="B70" s="2"/>
      <x:c r="C70" s="61" t="d">
        <x:v>2019-08-01T00:00:00.000Z</x:v>
      </x:c>
      <x:c r="D70" s="62" t="n">
        <x:v>-0.055168067036267684</x:v>
      </x:c>
      <x:c r="E70" s="62" t="n">
        <x:v>-0.0014511853717674552</x:v>
      </x:c>
      <x:c r="F70" s="62" t="n">
        <x:v>-0.0008163150125225887</x:v>
      </x:c>
      <x:c r="G70" s="62" t="n">
        <x:v>-0.0003738535938017793</x:v>
      </x:c>
      <x:c r="H70" s="2"/>
      <x:c r="I70" s="2"/>
      <x:c r="J70" s="2"/>
      <x:c r="K70" s="2"/>
      <x:c r="L70" s="2"/>
      <x:c r="M70" s="2"/>
      <x:c r="N70" s="2"/>
    </x:row>
    <x:row r="71" ht="20" customHeight="1">
      <x:c r="A71" s="2"/>
      <x:c r="B71" s="2"/>
      <x:c r="C71" s="61" t="d">
        <x:v>2019-09-01T00:00:00.000Z</x:v>
      </x:c>
      <x:c r="D71" s="62" t="n">
        <x:v>0.01397176744740052</x:v>
      </x:c>
      <x:c r="E71" s="62" t="n">
        <x:v>0.00024477506308644994</x:v>
      </x:c>
      <x:c r="F71" s="62" t="n">
        <x:v>0.00022576908667615905</x:v>
      </x:c>
      <x:c r="G71" s="62" t="n">
        <x:v>0.00007697868422865685</x:v>
      </x:c>
      <x:c r="H71" s="2"/>
      <x:c r="I71" s="2"/>
      <x:c r="J71" s="2"/>
      <x:c r="K71" s="2"/>
      <x:c r="L71" s="2"/>
      <x:c r="M71" s="2"/>
      <x:c r="N71" s="2"/>
    </x:row>
    <x:row r="72" ht="20" customHeight="1">
      <x:c r="A72" s="2"/>
      <x:c r="B72" s="2"/>
      <x:c r="C72" s="61" t="d">
        <x:v>2019-10-01T00:00:00.000Z</x:v>
      </x:c>
      <x:c r="D72" s="62" t="n">
        <x:v>0.0077395533867364</x:v>
      </x:c>
      <x:c r="E72" s="62" t="n">
        <x:v>-0.0018636925712661701</x:v>
      </x:c>
      <x:c r="F72" s="62" t="n">
        <x:v>0.0007719127392849505</x:v>
      </x:c>
      <x:c r="G72" s="62" t="n">
        <x:v>0.0007577856692795505</x:v>
      </x:c>
      <x:c r="H72" s="2"/>
      <x:c r="I72" s="2"/>
      <x:c r="J72" s="2"/>
      <x:c r="K72" s="2"/>
      <x:c r="L72" s="2"/>
      <x:c r="M72" s="2"/>
      <x:c r="N72" s="2"/>
    </x:row>
    <x:row r="73" ht="20" customHeight="1">
      <x:c r="A73" s="2"/>
      <x:c r="B73" s="2"/>
      <x:c r="C73" s="61" t="d">
        <x:v>2019-11-01T00:00:00.000Z</x:v>
      </x:c>
      <x:c r="D73" s="62" t="n">
        <x:v>0.0015947559654903595</x:v>
      </x:c>
      <x:c r="E73" s="62" t="n">
        <x:v>-0.0006643180013992836</x:v>
      </x:c>
      <x:c r="F73" s="62" t="n">
        <x:v>0.0001617820079306562</x:v>
      </x:c>
      <x:c r="G73" s="62" t="n">
        <x:v>0.0000781023163295972</x:v>
      </x:c>
      <x:c r="H73" s="2"/>
      <x:c r="I73" s="2"/>
      <x:c r="J73" s="2"/>
      <x:c r="K73" s="2"/>
      <x:c r="L73" s="2"/>
      <x:c r="M73" s="2"/>
      <x:c r="N73" s="2"/>
    </x:row>
    <x:row r="74" ht="20" customHeight="1">
      <x:c r="A74" s="2"/>
      <x:c r="B74" s="2"/>
      <x:c r="C74" s="61" t="d">
        <x:v>2019-12-01T00:00:00.000Z</x:v>
      </x:c>
      <x:c r="D74" s="62" t="n">
        <x:v>0.019697629633952784</x:v>
      </x:c>
      <x:c r="E74" s="62" t="n">
        <x:v>0.0012393765250727818</x:v>
      </x:c>
      <x:c r="F74" s="62" t="n">
        <x:v>0.00007647755923021936</x:v>
      </x:c>
      <x:c r="G74" s="62" t="n">
        <x:v>-0.000019361919045427712</x:v>
      </x:c>
      <x:c r="H74" s="2"/>
      <x:c r="I74" s="2"/>
      <x:c r="J74" s="2"/>
      <x:c r="K74" s="2"/>
      <x:c r="L74" s="2"/>
      <x:c r="M74" s="2"/>
      <x:c r="N74" s="2"/>
    </x:row>
    <x:row r="75" ht="20" customHeight="1">
      <x:c r="A75" s="2"/>
      <x:c r="B75" s="2"/>
      <x:c r="C75" s="61" t="d">
        <x:v>2020-01-01T00:00:00.000Z</x:v>
      </x:c>
      <x:c r="D75" s="62" t="n">
        <x:v>-0.03746481982197942</x:v>
      </x:c>
      <x:c r="E75" s="62" t="n">
        <x:v>0.000512638786885377</x:v>
      </x:c>
      <x:c r="F75" s="62" t="n">
        <x:v>-0.0009203316934562771</x:v>
      </x:c>
      <x:c r="G75" s="62" t="n">
        <x:v>-0.000543309569804109</x:v>
      </x:c>
      <x:c r="H75" s="2"/>
      <x:c r="I75" s="2"/>
      <x:c r="J75" s="2"/>
      <x:c r="K75" s="2"/>
      <x:c r="L75" s="2"/>
      <x:c r="M75" s="2"/>
      <x:c r="N75" s="2"/>
    </x:row>
    <x:row r="76" ht="20" customHeight="1">
      <x:c r="A76" s="2"/>
      <x:c r="B76" s="2"/>
      <x:c r="C76" s="61" t="d">
        <x:v>2020-02-01T00:00:00.000Z</x:v>
      </x:c>
      <x:c r="D76" s="62" t="n">
        <x:v>-0.03182628278309109</x:v>
      </x:c>
      <x:c r="E76" s="62" t="n">
        <x:v>0.0005570887826704136</x:v>
      </x:c>
      <x:c r="F76" s="62" t="n">
        <x:v>-0.0008361782363126888</x:v>
      </x:c>
      <x:c r="G76" s="62" t="n">
        <x:v>-0.0005115814351076859</x:v>
      </x:c>
      <x:c r="H76" s="2"/>
      <x:c r="I76" s="2"/>
      <x:c r="J76" s="2"/>
      <x:c r="K76" s="2"/>
      <x:c r="L76" s="2"/>
      <x:c r="M76" s="2"/>
      <x:c r="N76" s="2"/>
    </x:row>
    <x:row r="77" ht="20" customHeight="1">
      <x:c r="A77" s="2"/>
      <x:c r="B77" s="2"/>
      <x:c r="C77" s="61" t="d">
        <x:v>2020-03-01T00:00:00.000Z</x:v>
      </x:c>
      <x:c r="D77" s="62" t="n">
        <x:v>-0.022186102365240237</x:v>
      </x:c>
      <x:c r="E77" s="62" t="n">
        <x:v>-0.00008610600742614717</x:v>
      </x:c>
      <x:c r="F77" s="62" t="n">
        <x:v>-0.0001876075855952338</x:v>
      </x:c>
      <x:c r="G77" s="62" t="n">
        <x:v>0.00011015355368874363</x:v>
      </x:c>
      <x:c r="H77" s="2"/>
      <x:c r="I77" s="2"/>
      <x:c r="J77" s="2"/>
      <x:c r="K77" s="2"/>
      <x:c r="L77" s="2"/>
      <x:c r="M77" s="2"/>
      <x:c r="N77" s="2"/>
    </x:row>
    <x:row r="78" ht="20" customHeight="1">
      <x:c r="A78" s="2"/>
      <x:c r="B78" s="2"/>
      <x:c r="C78" s="61" t="d">
        <x:v>2020-04-01T00:00:00.000Z</x:v>
      </x:c>
      <x:c r="D78" s="62" t="n">
        <x:v>-0.011371432921477699</x:v>
      </x:c>
      <x:c r="E78" s="62" t="n">
        <x:v>0.0006145472505826719</x:v>
      </x:c>
      <x:c r="F78" s="62" t="n">
        <x:v>-0.0004805692110615683</x:v>
      </x:c>
      <x:c r="G78" s="62" t="n">
        <x:v>-0.0004264494047202467</x:v>
      </x:c>
      <x:c r="H78" s="2"/>
      <x:c r="I78" s="2"/>
      <x:c r="J78" s="2"/>
      <x:c r="K78" s="2"/>
      <x:c r="L78" s="2"/>
      <x:c r="M78" s="2"/>
      <x:c r="N78" s="2"/>
    </x:row>
    <x:row r="79" ht="20" customHeight="1">
      <x:c r="A79" s="2"/>
      <x:c r="B79" s="2"/>
      <x:c r="C79" s="61" t="d">
        <x:v>2020-05-01T00:00:00.000Z</x:v>
      </x:c>
      <x:c r="D79" s="62" t="n">
        <x:v>0.0132724137462951</x:v>
      </x:c>
      <x:c r="E79" s="62" t="n">
        <x:v>0.0010666444295580801</x:v>
      </x:c>
      <x:c r="F79" s="62" t="n">
        <x:v>0.00018774921339984344</x:v>
      </x:c>
      <x:c r="G79" s="62" t="n">
        <x:v>0.00022334010770428807</x:v>
      </x:c>
      <x:c r="H79" s="2"/>
      <x:c r="I79" s="2"/>
      <x:c r="J79" s="2"/>
      <x:c r="K79" s="2"/>
      <x:c r="L79" s="2"/>
      <x:c r="M79" s="2"/>
      <x:c r="N79" s="2"/>
    </x:row>
    <x:row r="80" ht="20" customHeight="1">
      <x:c r="A80" s="2"/>
      <x:c r="B80" s="2"/>
      <x:c r="C80" s="61" t="d">
        <x:v>2020-06-01T00:00:00.000Z</x:v>
      </x:c>
      <x:c r="D80" s="62" t="n">
        <x:v>-0.0005311955602960542</x:v>
      </x:c>
      <x:c r="E80" s="62" t="n">
        <x:v>0.0002906016703937658</x:v>
      </x:c>
      <x:c r="F80" s="62" t="n">
        <x:v>-0.00003067580515710596</x:v>
      </x:c>
      <x:c r="G80" s="62" t="n">
        <x:v>-0.000012162800600049529</x:v>
      </x:c>
      <x:c r="H80" s="2"/>
      <x:c r="I80" s="2"/>
      <x:c r="J80" s="2"/>
      <x:c r="K80" s="2"/>
      <x:c r="L80" s="2"/>
      <x:c r="M80" s="2"/>
      <x:c r="N80" s="2"/>
    </x:row>
    <x:row r="81" ht="20" customHeight="1">
      <x:c r="A81" s="2"/>
      <x:c r="B81" s="2"/>
      <x:c r="C81" s="61" t="d">
        <x:v>2020-07-01T00:00:00.000Z</x:v>
      </x:c>
      <x:c r="D81" s="62" t="n">
        <x:v>-0.02565792038543225</x:v>
      </x:c>
      <x:c r="E81" s="62" t="n">
        <x:v>-0.00025204042551735505</x:v>
      </x:c>
      <x:c r="F81" s="62" t="n">
        <x:v>-0.0005490305818119683</x:v>
      </x:c>
      <x:c r="G81" s="62" t="n">
        <x:v>-0.00044775250230880126</x:v>
      </x:c>
      <x:c r="H81" s="2"/>
      <x:c r="I81" s="2"/>
      <x:c r="J81" s="2"/>
      <x:c r="K81" s="2"/>
      <x:c r="L81" s="2"/>
      <x:c r="M81" s="2"/>
      <x:c r="N81" s="2"/>
    </x:row>
    <x:row r="82" ht="20" customHeight="1">
      <x:c r="A82" s="2"/>
      <x:c r="B82" s="2"/>
      <x:c r="C82" s="61" t="d">
        <x:v>2020-08-01T00:00:00.000Z</x:v>
      </x:c>
      <x:c r="D82" s="62" t="n">
        <x:v>0.03213137053056655</x:v>
      </x:c>
      <x:c r="E82" s="62" t="n">
        <x:v>-0.0011500851539562925</x:v>
      </x:c>
      <x:c r="F82" s="62" t="n">
        <x:v>0.0011848309167611444</x:v>
      </x:c>
      <x:c r="G82" s="62" t="n">
        <x:v>0.0010962214421613924</x:v>
      </x:c>
      <x:c r="H82" s="2"/>
      <x:c r="I82" s="2"/>
      <x:c r="J82" s="2"/>
      <x:c r="K82" s="2"/>
      <x:c r="L82" s="2"/>
      <x:c r="M82" s="2"/>
      <x:c r="N82" s="2"/>
    </x:row>
    <x:row r="83" ht="20" customHeight="1">
      <x:c r="A83" s="2"/>
      <x:c r="B83" s="2"/>
      <x:c r="C83" s="61" t="d">
        <x:v>2020-09-01T00:00:00.000Z</x:v>
      </x:c>
      <x:c r="D83" s="62" t="n">
        <x:v>-0.006182371232740546</x:v>
      </x:c>
      <x:c r="E83" s="62" t="n">
        <x:v>0.0005160162722652312</x:v>
      </x:c>
      <x:c r="F83" s="62" t="n">
        <x:v>-0.0003223696146665546</x:v>
      </x:c>
      <x:c r="G83" s="62" t="n">
        <x:v>-0.0002987655806961466</x:v>
      </x:c>
      <x:c r="H83" s="2"/>
      <x:c r="I83" s="2"/>
      <x:c r="J83" s="2"/>
      <x:c r="K83" s="2"/>
      <x:c r="L83" s="2"/>
      <x:c r="M83" s="2"/>
      <x:c r="N83" s="2"/>
    </x:row>
    <x:row r="84" ht="20" customHeight="1">
      <x:c r="A84" s="2"/>
      <x:c r="B84" s="2"/>
      <x:c r="C84" s="61" t="d">
        <x:v>2020-10-01T00:00:00.000Z</x:v>
      </x:c>
      <x:c r="D84" s="62" t="n">
        <x:v>0.01894131022370331</x:v>
      </x:c>
      <x:c r="E84" s="62" t="n">
        <x:v>0.0007727767423841791</x:v>
      </x:c>
      <x:c r="F84" s="62" t="n">
        <x:v>0.0002277257259898339</x:v>
      </x:c>
      <x:c r="G84" s="62" t="n">
        <x:v>0.00011146346008760853</x:v>
      </x:c>
      <x:c r="H84" s="2"/>
      <x:c r="I84" s="2"/>
      <x:c r="J84" s="2"/>
      <x:c r="K84" s="2"/>
      <x:c r="L84" s="2"/>
      <x:c r="M84" s="2"/>
      <x:c r="N84" s="2"/>
    </x:row>
    <x:row r="85" ht="20" customHeight="1">
      <x:c r="A85" s="2"/>
      <x:c r="B85" s="2"/>
      <x:c r="C85" s="61" t="d">
        <x:v>2020-11-01T00:00:00.000Z</x:v>
      </x:c>
      <x:c r="D85" s="62" t="n">
        <x:v>-0.008790421256809934</x:v>
      </x:c>
      <x:c r="E85" s="62" t="n">
        <x:v>-0.00030019130129643816</x:v>
      </x:c>
      <x:c r="F85" s="62" t="n">
        <x:v>-0.00013861692244615352</x:v>
      </x:c>
      <x:c r="G85" s="62" t="n">
        <x:v>-0.00009966286398806815</x:v>
      </x:c>
      <x:c r="H85" s="2"/>
      <x:c r="I85" s="2"/>
      <x:c r="J85" s="2"/>
      <x:c r="K85" s="2"/>
      <x:c r="L85" s="2"/>
      <x:c r="M85" s="2"/>
      <x:c r="N85" s="2"/>
    </x:row>
    <x:row r="86" ht="20" customHeight="1">
      <x:c r="A86" s="2"/>
      <x:c r="B86" s="2"/>
      <x:c r="C86" s="61" t="d">
        <x:v>2020-12-01T00:00:00.000Z</x:v>
      </x:c>
      <x:c r="D86" s="62" t="n">
        <x:v>0.010160076195071569</x:v>
      </x:c>
      <x:c r="E86" s="62" t="n">
        <x:v>-0.00048126484634934257</x:v>
      </x:c>
      <x:c r="F86" s="62" t="n">
        <x:v>0.00042510325900020277</x:v>
      </x:c>
      <x:c r="G86" s="62" t="n">
        <x:v>0.00041918316465170574</x:v>
      </x:c>
      <x:c r="H86" s="2"/>
      <x:c r="I86" s="2"/>
      <x:c r="J86" s="2"/>
      <x:c r="K86" s="2"/>
      <x:c r="L86" s="2"/>
      <x:c r="M86" s="2"/>
      <x:c r="N86" s="2"/>
    </x:row>
    <x:row r="87" ht="20" customHeight="1">
      <x:c r="A87" s="2"/>
      <x:c r="B87" s="2"/>
      <x:c r="C87" s="61" t="d">
        <x:v>2021-01-01T00:00:00.000Z</x:v>
      </x:c>
      <x:c r="D87" s="62" t="n">
        <x:v>0.02528934592859759</x:v>
      </x:c>
      <x:c r="E87" s="62" t="n">
        <x:v>-0.00007197875484144383</x:v>
      </x:c>
      <x:c r="F87" s="62" t="n">
        <x:v>0.0006879056666402699</x:v>
      </x:c>
      <x:c r="G87" s="62" t="n">
        <x:v>0.0005838569931926978</x:v>
      </x:c>
      <x:c r="H87" s="2"/>
      <x:c r="I87" s="2"/>
      <x:c r="J87" s="2"/>
      <x:c r="K87" s="2"/>
      <x:c r="L87" s="2"/>
      <x:c r="M87" s="2"/>
      <x:c r="N87" s="2"/>
    </x:row>
    <x:row r="88" ht="20" customHeight="1">
      <x:c r="A88" s="2"/>
      <x:c r="B88" s="2"/>
      <x:c r="C88" s="61" t="d">
        <x:v>2021-02-01T00:00:00.000Z</x:v>
      </x:c>
      <x:c r="D88" s="62" t="n">
        <x:v>0.03426833485850531</x:v>
      </x:c>
      <x:c r="E88" s="62" t="n">
        <x:v>-0.0009408846154124896</x:v>
      </x:c>
      <x:c r="F88" s="62" t="n">
        <x:v>0.0010327089514891835</x:v>
      </x:c>
      <x:c r="G88" s="62" t="n">
        <x:v>0.000752983990765991</x:v>
      </x:c>
      <x:c r="H88" s="2"/>
      <x:c r="I88" s="2"/>
      <x:c r="J88" s="2"/>
      <x:c r="K88" s="2"/>
      <x:c r="L88" s="2"/>
      <x:c r="M88" s="2"/>
      <x:c r="N88" s="2"/>
    </x:row>
    <x:row r="89" ht="20" customHeight="1">
      <x:c r="A89" s="2"/>
      <x:c r="B89" s="2"/>
      <x:c r="C89" s="61" t="d">
        <x:v>2021-03-01T00:00:00.000Z</x:v>
      </x:c>
      <x:c r="D89" s="62" t="n">
        <x:v>0.02451300472260959</x:v>
      </x:c>
      <x:c r="E89" s="62" t="n">
        <x:v>0.002842082596824815</x:v>
      </x:c>
      <x:c r="F89" s="62" t="n">
        <x:v>-0.00016148000556365303</x:v>
      </x:c>
      <x:c r="G89" s="62" t="n">
        <x:v>-0.0003353347021758617</x:v>
      </x:c>
      <x:c r="H89" s="2"/>
      <x:c r="I89" s="2"/>
      <x:c r="J89" s="2"/>
      <x:c r="K89" s="2"/>
      <x:c r="L89" s="2"/>
      <x:c r="M89" s="2"/>
      <x:c r="N89" s="2"/>
    </x:row>
    <x:row r="90" ht="20" customHeight="1">
      <x:c r="A90" s="2"/>
      <x:c r="B90" s="2"/>
      <x:c r="C90" s="61" t="d">
        <x:v>2021-04-01T00:00:00.000Z</x:v>
      </x:c>
      <x:c r="D90" s="62" t="n">
        <x:v>-0.012025855837950879</x:v>
      </x:c>
      <x:c r="E90" s="62" t="n">
        <x:v>0.00009644991425430281</x:v>
      </x:c>
      <x:c r="F90" s="62" t="n">
        <x:v>-0.00029702034173275776</x:v>
      </x:c>
      <x:c r="G90" s="62" t="n">
        <x:v>-0.00019053147186219105</x:v>
      </x:c>
      <x:c r="H90" s="2"/>
      <x:c r="I90" s="2"/>
      <x:c r="J90" s="2"/>
      <x:c r="K90" s="2"/>
      <x:c r="L90" s="2"/>
      <x:c r="M90" s="2"/>
      <x:c r="N90" s="2"/>
    </x:row>
    <x:row r="91" ht="20" customHeight="1">
      <x:c r="A91" s="2"/>
      <x:c r="B91" s="2"/>
      <x:c r="C91" s="61" t="d">
        <x:v>2021-05-01T00:00:00.000Z</x:v>
      </x:c>
      <x:c r="D91" s="62" t="n">
        <x:v>-0.0009229612856761344</x:v>
      </x:c>
      <x:c r="E91" s="62" t="n">
        <x:v>-0.001976030942492946</x:v>
      </x:c>
      <x:c r="F91" s="62" t="n">
        <x:v>0.000731914654359676</x:v>
      </x:c>
      <x:c r="G91" s="62" t="n">
        <x:v>0.0008263782531048027</x:v>
      </x:c>
      <x:c r="H91" s="2"/>
      <x:c r="I91" s="2"/>
      <x:c r="J91" s="2"/>
      <x:c r="K91" s="2"/>
      <x:c r="L91" s="2"/>
      <x:c r="M91" s="2"/>
      <x:c r="N91" s="2"/>
    </x:row>
    <x:row r="92" ht="20" customHeight="1">
      <x:c r="A92" s="2"/>
      <x:c r="B92" s="2"/>
      <x:c r="C92" s="61" t="d">
        <x:v>2021-06-01T00:00:00.000Z</x:v>
      </x:c>
      <x:c r="D92" s="62" t="n">
        <x:v>-0.028233740847225398</x:v>
      </x:c>
      <x:c r="E92" s="62" t="n">
        <x:v>-0.0012762173991511523</x:v>
      </x:c>
      <x:c r="F92" s="62" t="n">
        <x:v>-0.0007219564404318633</x:v>
      </x:c>
      <x:c r="G92" s="62" t="n">
        <x:v>-0.0006954792518955917</x:v>
      </x:c>
      <x:c r="H92" s="2"/>
      <x:c r="I92" s="2"/>
      <x:c r="J92" s="2"/>
      <x:c r="K92" s="2"/>
      <x:c r="L92" s="2"/>
      <x:c r="M92" s="2"/>
      <x:c r="N92" s="2"/>
    </x:row>
    <x:row r="93" ht="20" customHeight="1">
      <x:c r="A93" s="2"/>
      <x:c r="B93" s="2"/>
      <x:c r="C93" s="61" t="d">
        <x:v>2021-07-01T00:00:00.000Z</x:v>
      </x:c>
      <x:c r="D93" s="62" t="n">
        <x:v>-0.0178496795212754</x:v>
      </x:c>
      <x:c r="E93" s="62" t="n">
        <x:v>-0.00018743035202989014</x:v>
      </x:c>
      <x:c r="F93" s="62" t="n">
        <x:v>-0.00029068876536857504</x:v>
      </x:c>
      <x:c r="G93" s="62" t="n">
        <x:v>-0.0000924869473564379</x:v>
      </x:c>
      <x:c r="H93" s="2"/>
      <x:c r="I93" s="2"/>
      <x:c r="J93" s="2"/>
      <x:c r="K93" s="2"/>
      <x:c r="L93" s="2"/>
      <x:c r="M93" s="2"/>
      <x:c r="N93" s="2"/>
    </x:row>
    <x:row r="94" ht="20" customHeight="1">
      <x:c r="A94" s="2"/>
      <x:c r="B94" s="2"/>
      <x:c r="C94" s="61" t="d">
        <x:v>2021-08-01T00:00:00.000Z</x:v>
      </x:c>
      <x:c r="D94" s="62" t="n">
        <x:v>-0.00027859072020702336</x:v>
      </x:c>
      <x:c r="E94" s="62" t="n">
        <x:v>0.00020909756228652522</x:v>
      </x:c>
      <x:c r="F94" s="62" t="n">
        <x:v>-0.0001801114955050172</x:v>
      </x:c>
      <x:c r="G94" s="62" t="n">
        <x:v>-0.00022240099293289415</x:v>
      </x:c>
      <x:c r="H94" s="2"/>
      <x:c r="I94" s="2"/>
      <x:c r="J94" s="2"/>
      <x:c r="K94" s="2"/>
      <x:c r="L94" s="2"/>
      <x:c r="M94" s="2"/>
      <x:c r="N94" s="2"/>
    </x:row>
    <x:row r="95" ht="20" customHeight="1">
      <x:c r="A95" s="2"/>
      <x:c r="B95" s="2"/>
      <x:c r="C95" s="61" t="d">
        <x:v>2021-09-01T00:00:00.000Z</x:v>
      </x:c>
      <x:c r="D95" s="62" t="n">
        <x:v>0.013682120340851114</x:v>
      </x:c>
      <x:c r="E95" s="62" t="n">
        <x:v>0.000412745049818172</x:v>
      </x:c>
      <x:c r="F95" s="62" t="n">
        <x:v>0.00003057886044840491</x:v>
      </x:c>
      <x:c r="G95" s="62" t="n">
        <x:v>-0.0001442130665518371</x:v>
      </x:c>
      <x:c r="H95" s="2"/>
      <x:c r="I95" s="2"/>
      <x:c r="J95" s="2"/>
      <x:c r="K95" s="2"/>
      <x:c r="L95" s="2"/>
      <x:c r="M95" s="2"/>
      <x:c r="N95" s="2"/>
    </x:row>
    <x:row r="96" ht="20" customHeight="1">
      <x:c r="A96" s="2"/>
      <x:c r="B96" s="2"/>
      <x:c r="C96" s="61" t="d">
        <x:v>2021-10-01T00:00:00.000Z</x:v>
      </x:c>
      <x:c r="D96" s="62" t="n">
        <x:v>-0.017779753206924483</x:v>
      </x:c>
      <x:c r="E96" s="62" t="n">
        <x:v>-0.0018862195494933466</x:v>
      </x:c>
      <x:c r="F96" s="62" t="n">
        <x:v>-0.00018440313068424972</x:v>
      </x:c>
      <x:c r="G96" s="62" t="n">
        <x:v>-0.00027192340079048823</x:v>
      </x:c>
      <x:c r="H96" s="2"/>
      <x:c r="I96" s="2"/>
      <x:c r="J96" s="2"/>
      <x:c r="K96" s="2"/>
      <x:c r="L96" s="2"/>
      <x:c r="M96" s="2"/>
      <x:c r="N96" s="2"/>
    </x:row>
    <x:row r="97" ht="20" customHeight="1">
      <x:c r="A97" s="2"/>
      <x:c r="B97" s="2"/>
      <x:c r="C97" s="61" t="d">
        <x:v>2021-11-01T00:00:00.000Z</x:v>
      </x:c>
      <x:c r="D97" s="62" t="n">
        <x:v>-0.01681622149653903</x:v>
      </x:c>
      <x:c r="E97" s="62" t="n">
        <x:v>-0.00033921347477835936</x:v>
      </x:c>
      <x:c r="F97" s="62" t="n">
        <x:v>-0.00036459769285389864</x:v>
      </x:c>
      <x:c r="G97" s="62" t="n">
        <x:v>-0.00027987530382481265</x:v>
      </x:c>
      <x:c r="H97" s="2"/>
      <x:c r="I97" s="2"/>
      <x:c r="J97" s="2"/>
      <x:c r="K97" s="2"/>
      <x:c r="L97" s="2"/>
      <x:c r="M97" s="2"/>
      <x:c r="N97" s="2"/>
    </x:row>
    <x:row r="98" ht="20" customHeight="1">
      <x:c r="A98" s="2"/>
      <x:c r="B98" s="2"/>
      <x:c r="C98" s="61" t="d">
        <x:v>2021-12-01T00:00:00.000Z</x:v>
      </x:c>
      <x:c r="D98" s="62" t="n">
        <x:v>0.009251827001123416</x:v>
      </x:c>
      <x:c r="E98" s="62" t="n">
        <x:v>0.00046261670155226995</x:v>
      </x:c>
      <x:c r="F98" s="62" t="n">
        <x:v>0.0001667521890573653</x:v>
      </x:c>
      <x:c r="G98" s="62" t="n">
        <x:v>0.00010733559632951583</x:v>
      </x:c>
      <x:c r="H98" s="2"/>
      <x:c r="I98" s="2"/>
      <x:c r="J98" s="2"/>
      <x:c r="K98" s="2"/>
      <x:c r="L98" s="2"/>
      <x:c r="M98" s="2"/>
      <x:c r="N98" s="2"/>
    </x:row>
    <x:row r="99" ht="20" customHeight="1">
      <x:c r="A99" s="2"/>
      <x:c r="B99" s="2"/>
      <x:c r="C99" s="61" t="d">
        <x:v>2022-01-01T00:00:00.000Z</x:v>
      </x:c>
      <x:c r="D99" s="62" t="n">
        <x:v>0.015362307531434352</x:v>
      </x:c>
      <x:c r="E99" s="62" t="n">
        <x:v>-0.0011901101950463843</x:v>
      </x:c>
      <x:c r="F99" s="62" t="n">
        <x:v>0.000509421902525772</x:v>
      </x:c>
      <x:c r="G99" s="62" t="n">
        <x:v>0.00026395263350019</x:v>
      </x:c>
      <x:c r="H99" s="2"/>
      <x:c r="I99" s="2"/>
      <x:c r="J99" s="2"/>
      <x:c r="K99" s="2"/>
      <x:c r="L99" s="2"/>
      <x:c r="M99" s="2"/>
      <x:c r="N99" s="2"/>
    </x:row>
    <x:row r="100" ht="20" customHeight="1">
      <x:c r="A100" s="2"/>
      <x:c r="B100" s="2"/>
      <x:c r="C100" s="61" t="d">
        <x:v>2022-02-01T00:00:00.000Z</x:v>
      </x:c>
      <x:c r="D100" s="62" t="n">
        <x:v>0.006291335998430248</x:v>
      </x:c>
      <x:c r="E100" s="62" t="n">
        <x:v>-0.0006458702981736678</x:v>
      </x:c>
      <x:c r="F100" s="62" t="n">
        <x:v>0.00035818911817091047</x:v>
      </x:c>
      <x:c r="G100" s="62" t="n">
        <x:v>0.00031135279071347374</x:v>
      </x:c>
      <x:c r="H100" s="2"/>
      <x:c r="I100" s="2"/>
      <x:c r="J100" s="2"/>
      <x:c r="K100" s="2"/>
      <x:c r="L100" s="2"/>
      <x:c r="M100" s="2"/>
      <x:c r="N100" s="2"/>
    </x:row>
    <x:row r="101" ht="20" customHeight="1">
      <x:c r="A101" s="2"/>
      <x:c r="B101" s="2"/>
      <x:c r="C101" s="61" t="d">
        <x:v>2022-03-01T00:00:00.000Z</x:v>
      </x:c>
      <x:c r="D101" s="62" t="n">
        <x:v>0.011075276412286127</x:v>
      </x:c>
      <x:c r="E101" s="62" t="n">
        <x:v>-0.0017414766558814685</x:v>
      </x:c>
      <x:c r="F101" s="62" t="n">
        <x:v>0.0003675900440303039</x:v>
      </x:c>
      <x:c r="G101" s="62" t="n">
        <x:v>-0.00012000575285616699</x:v>
      </x:c>
      <x:c r="H101" s="2"/>
      <x:c r="I101" s="2"/>
      <x:c r="J101" s="2"/>
      <x:c r="K101" s="2"/>
      <x:c r="L101" s="2"/>
      <x:c r="M101" s="2"/>
      <x:c r="N101" s="2"/>
    </x:row>
    <x:row r="102" ht="20" customHeight="1">
      <x:c r="A102" s="2"/>
      <x:c r="B102" s="2"/>
      <x:c r="C102" s="61" t="d">
        <x:v>2022-04-01T00:00:00.000Z</x:v>
      </x:c>
      <x:c r="D102" s="62" t="n">
        <x:v>0.04685017695031614</x:v>
      </x:c>
      <x:c r="E102" s="62" t="n">
        <x:v>0.0007505559123617059</x:v>
      </x:c>
      <x:c r="F102" s="62" t="n">
        <x:v>0.0008731072971410195</x:v>
      </x:c>
      <x:c r="G102" s="62" t="n">
        <x:v>0.00044002652909622245</x:v>
      </x:c>
      <x:c r="H102" s="2"/>
      <x:c r="I102" s="2"/>
      <x:c r="J102" s="2"/>
      <x:c r="K102" s="2"/>
      <x:c r="L102" s="2"/>
      <x:c r="M102" s="2"/>
      <x:c r="N102" s="2"/>
    </x:row>
    <x:row r="103" ht="20" customHeight="1">
      <x:c r="A103" s="2"/>
      <x:c r="B103" s="2"/>
      <x:c r="C103" s="61" t="d">
        <x:v>2022-05-01T00:00:00.000Z</x:v>
      </x:c>
      <x:c r="D103" s="62" t="n">
        <x:v>0.018143599166060224</x:v>
      </x:c>
      <x:c r="E103" s="62" t="n">
        <x:v>0.00020226689280905332</x:v>
      </x:c>
      <x:c r="F103" s="62" t="n">
        <x:v>0.0001585771000341979</x:v>
      </x:c>
      <x:c r="G103" s="62" t="n">
        <x:v>0.00020110710060846105</x:v>
      </x:c>
      <x:c r="H103" s="2"/>
      <x:c r="I103" s="2"/>
      <x:c r="J103" s="2"/>
      <x:c r="K103" s="2"/>
      <x:c r="L103" s="2"/>
      <x:c r="M103" s="2"/>
      <x:c r="N103" s="2"/>
    </x:row>
    <x:row r="104" ht="20" customHeight="1">
      <x:c r="A104" s="2"/>
      <x:c r="B104" s="2"/>
      <x:c r="C104" s="61" t="d">
        <x:v>2022-06-01T00:00:00.000Z</x:v>
      </x:c>
      <x:c r="D104" s="62" t="n">
        <x:v>0.0022032215193555286</x:v>
      </x:c>
      <x:c r="E104" s="62" t="n">
        <x:v>0.0009619111941527971</x:v>
      </x:c>
      <x:c r="F104" s="62" t="n">
        <x:v>0.00032824575014276064</x:v>
      </x:c>
      <x:c r="G104" s="62" t="n">
        <x:v>0.00031235039735514063</x:v>
      </x:c>
      <x:c r="H104" s="2"/>
      <x:c r="I104" s="2"/>
      <x:c r="J104" s="2"/>
      <x:c r="K104" s="2"/>
      <x:c r="L104" s="2"/>
      <x:c r="M104" s="2"/>
      <x:c r="N104" s="2"/>
    </x:row>
    <x:row r="105" ht="20" customHeight="1">
      <x:c r="A105" s="2"/>
      <x:c r="B105" s="2"/>
      <x:c r="C105" s="61" t="d">
        <x:v>2022-07-01T00:00:00.000Z</x:v>
      </x:c>
      <x:c r="D105" s="62" t="n">
        <x:v>-0.009774094467058823</x:v>
      </x:c>
      <x:c r="E105" s="62" t="n">
        <x:v>0.00005660370803883888</x:v>
      </x:c>
      <x:c r="F105" s="62" t="n">
        <x:v>-0.0006628154762431324</x:v>
      </x:c>
      <x:c r="G105" s="62" t="n">
        <x:v>-0.0003689570559938921</x:v>
      </x:c>
      <x:c r="H105" s="2"/>
      <x:c r="I105" s="2"/>
      <x:c r="J105" s="2"/>
      <x:c r="K105" s="2"/>
      <x:c r="L105" s="2"/>
      <x:c r="M105" s="2"/>
      <x:c r="N105" s="2"/>
    </x:row>
    <x:row r="106" ht="20" customHeight="1">
      <x:c r="A106" s="2"/>
      <x:c r="B106" s="2"/>
      <x:c r="C106" s="61" t="d">
        <x:v>2022-08-01T00:00:00.000Z</x:v>
      </x:c>
      <x:c r="D106" s="62" t="n">
        <x:v>0.014743264946024036</x:v>
      </x:c>
      <x:c r="E106" s="62" t="n">
        <x:v>-0.001126784310202018</x:v>
      </x:c>
      <x:c r="F106" s="62" t="n">
        <x:v>0.00044308904528999205</x:v>
      </x:c>
      <x:c r="G106" s="62" t="n">
        <x:v>-0.000039814292655269676</x:v>
      </x:c>
      <x:c r="H106" s="2"/>
      <x:c r="I106" s="2"/>
      <x:c r="J106" s="2"/>
      <x:c r="K106" s="2"/>
      <x:c r="L106" s="2"/>
      <x:c r="M106" s="2"/>
      <x:c r="N106" s="2"/>
    </x:row>
    <x:row r="107" ht="20" customHeight="1">
      <x:c r="A107" s="2"/>
      <x:c r="B107" s="2"/>
      <x:c r="C107" s="61" t="d">
        <x:v>2022-09-01T00:00:00.000Z</x:v>
      </x:c>
      <x:c r="D107" s="62" t="n">
        <x:v>0.033120369713655395</x:v>
      </x:c>
      <x:c r="E107" s="62" t="n">
        <x:v>-0.0008192960180826394</x:v>
      </x:c>
      <x:c r="F107" s="62" t="n">
        <x:v>0.0012275098311589085</x:v>
      </x:c>
      <x:c r="G107" s="62" t="n">
        <x:v>0.0006407222252796005</x:v>
      </x:c>
      <x:c r="H107" s="2"/>
      <x:c r="I107" s="2"/>
      <x:c r="J107" s="2"/>
      <x:c r="K107" s="2"/>
      <x:c r="L107" s="2"/>
      <x:c r="M107" s="2"/>
      <x:c r="N107" s="2"/>
    </x:row>
    <x:row r="108" ht="20" customHeight="1">
      <x:c r="A108" s="2"/>
      <x:c r="B108" s="2"/>
      <x:c r="C108" s="61" t="d">
        <x:v>2022-10-01T00:00:00.000Z</x:v>
      </x:c>
      <x:c r="D108" s="62" t="n">
        <x:v>0.03579668381057391</x:v>
      </x:c>
      <x:c r="E108" s="62" t="n">
        <x:v>0.0016093627675245932</x:v>
      </x:c>
      <x:c r="F108" s="62" t="n">
        <x:v>0.0007362671001283962</x:v>
      </x:c>
      <x:c r="G108" s="62" t="n">
        <x:v>0.0005360701887314503</x:v>
      </x:c>
      <x:c r="H108" s="2"/>
      <x:c r="I108" s="2"/>
      <x:c r="J108" s="2"/>
      <x:c r="K108" s="2"/>
      <x:c r="L108" s="2"/>
      <x:c r="M108" s="2"/>
      <x:c r="N108" s="2"/>
    </x:row>
    <x:row r="109" ht="20" customHeight="1">
      <x:c r="A109" s="2"/>
      <x:c r="B109" s="2"/>
      <x:c r="C109" s="61" t="d">
        <x:v>2022-11-01T00:00:00.000Z</x:v>
      </x:c>
      <x:c r="D109" s="62" t="n">
        <x:v>-0.03557452505818213</x:v>
      </x:c>
      <x:c r="E109" s="62" t="n">
        <x:v>-0.005810367934904935</x:v>
      </x:c>
      <x:c r="F109" s="62" t="n">
        <x:v>0.0008564033513426179</x:v>
      </x:c>
      <x:c r="G109" s="62" t="n">
        <x:v>0.0013729119516746803</x:v>
      </x:c>
      <x:c r="H109" s="2"/>
      <x:c r="I109" s="2"/>
      <x:c r="J109" s="2"/>
      <x:c r="K109" s="2"/>
      <x:c r="L109" s="2"/>
      <x:c r="M109" s="2"/>
      <x:c r="N109" s="2"/>
    </x:row>
    <x:row r="110" ht="20" customHeight="1">
      <x:c r="A110" s="2"/>
      <x:c r="B110" s="2"/>
      <x:c r="C110" s="61" t="d">
        <x:v>2022-12-01T00:00:00.000Z</x:v>
      </x:c>
      <x:c r="D110" s="62" t="n">
        <x:v>0.009172321781913954</x:v>
      </x:c>
      <x:c r="E110" s="62" t="n">
        <x:v>-0.0005164113576740398</x:v>
      </x:c>
      <x:c r="F110" s="62" t="n">
        <x:v>0.0004830550071335048</x:v>
      </x:c>
      <x:c r="G110" s="62" t="n">
        <x:v>0.00031093031939619884</x:v>
      </x:c>
      <x:c r="H110" s="2"/>
      <x:c r="I110" s="2"/>
      <x:c r="J110" s="2"/>
      <x:c r="K110" s="2"/>
      <x:c r="L110" s="2"/>
      <x:c r="M110" s="2"/>
      <x:c r="N110" s="2"/>
    </x:row>
    <x:row r="111" ht="20" customHeight="1">
      <x:c r="A111" s="2"/>
      <x:c r="B111" s="2"/>
      <x:c r="C111" s="61" t="d">
        <x:v>2023-01-01T00:00:00.000Z</x:v>
      </x:c>
      <x:c r="D111" s="62" t="n">
        <x:v>-0.027638552840160757</x:v>
      </x:c>
      <x:c r="E111" s="62" t="n">
        <x:v>0.00268659197031511</x:v>
      </x:c>
      <x:c r="F111" s="62" t="n">
        <x:v>-0.001305535961395919</x:v>
      </x:c>
      <x:c r="G111" s="62" t="n">
        <x:v>-0.0009083478106201596</x:v>
      </x:c>
      <x:c r="H111" s="2"/>
      <x:c r="I111" s="2"/>
      <x:c r="J111" s="2"/>
      <x:c r="K111" s="2"/>
      <x:c r="L111" s="2"/>
      <x:c r="M111" s="2"/>
      <x:c r="N111" s="2"/>
    </x:row>
    <x:row r="112" ht="20" customHeight="1">
      <x:c r="A112" s="2"/>
      <x:c r="B112" s="2"/>
      <x:c r="C112" s="61" t="d">
        <x:v>2023-02-01T00:00:00.000Z</x:v>
      </x:c>
      <x:c r="D112" s="62" t="n">
        <x:v>0.015827912914787957</x:v>
      </x:c>
      <x:c r="E112" s="62" t="n">
        <x:v>0.0027336578917210304</x:v>
      </x:c>
      <x:c r="F112" s="62" t="n">
        <x:v>-0.0004156233475644833</x:v>
      </x:c>
      <x:c r="G112" s="62" t="n">
        <x:v>-0.0008834192177976068</x:v>
      </x:c>
      <x:c r="H112" s="2"/>
      <x:c r="I112" s="2"/>
      <x:c r="J112" s="2"/>
      <x:c r="K112" s="2"/>
      <x:c r="L112" s="2"/>
      <x:c r="M112" s="2"/>
      <x:c r="N112" s="2"/>
    </x:row>
    <x:row r="113" ht="20" customHeight="1">
      <x:c r="A113" s="2"/>
      <x:c r="B113" s="2"/>
      <x:c r="C113" s="61" t="d">
        <x:v>2023-03-01T00:00:00.000Z</x:v>
      </x:c>
      <x:c r="D113" s="62" t="n">
        <x:v>-0.013726144135361591</x:v>
      </x:c>
      <x:c r="E113" s="62" t="n">
        <x:v>0.0007399591525343714</x:v>
      </x:c>
      <x:c r="F113" s="62" t="n">
        <x:v>-0.0008379803389186953</x:v>
      </x:c>
      <x:c r="G113" s="62" t="n">
        <x:v>-0.0004118867998074259</x:v>
      </x:c>
      <x:c r="H113" s="2"/>
      <x:c r="I113" s="2"/>
      <x:c r="J113" s="2"/>
      <x:c r="K113" s="2"/>
      <x:c r="L113" s="2"/>
      <x:c r="M113" s="2"/>
      <x:c r="N113" s="2"/>
    </x:row>
    <x:row r="114" ht="20" customHeight="1">
      <x:c r="A114" s="2"/>
      <x:c r="B114" s="2"/>
      <x:c r="C114" s="61" t="d">
        <x:v>2023-04-01T00:00:00.000Z</x:v>
      </x:c>
      <x:c r="D114" s="62" t="n">
        <x:v>0.0006538003717975238</x:v>
      </x:c>
      <x:c r="E114" s="62" t="n">
        <x:v>0.000574495971573992</x:v>
      </x:c>
      <x:c r="F114" s="62" t="n">
        <x:v>0.0000937781577729836</x:v>
      </x:c>
      <x:c r="G114" s="62" t="n">
        <x:v>0.00019085944690536169</x:v>
      </x:c>
      <x:c r="H114" s="2"/>
      <x:c r="I114" s="2"/>
      <x:c r="J114" s="2"/>
      <x:c r="K114" s="2"/>
      <x:c r="L114" s="2"/>
      <x:c r="M114" s="2"/>
      <x:c r="N114" s="2"/>
    </x:row>
    <x:row r="115" ht="20" customHeight="1">
      <x:c r="A115" s="2"/>
      <x:c r="B115" s="2"/>
      <x:c r="C115" s="61" t="d">
        <x:v>2023-05-01T00:00:00.000Z</x:v>
      </x:c>
      <x:c r="D115" s="62" t="n">
        <x:v>0.013638025930085904</x:v>
      </x:c>
      <x:c r="E115" s="62" t="n">
        <x:v>-0.002667145874667842</x:v>
      </x:c>
      <x:c r="F115" s="62" t="n">
        <x:v>0.0014043368686357915</x:v>
      </x:c>
      <x:c r="G115" s="62" t="n">
        <x:v>0.0012313374392239954</x:v>
      </x:c>
      <x:c r="H115" s="2"/>
      <x:c r="I115" s="2"/>
      <x:c r="J115" s="2"/>
      <x:c r="K115" s="2"/>
      <x:c r="L115" s="2"/>
      <x:c r="M115" s="2"/>
      <x:c r="N115" s="2"/>
    </x:row>
    <x:row r="116" ht="20" customHeight="1">
      <x:c r="A116" s="2"/>
      <x:c r="B116" s="2"/>
      <x:c r="C116" s="61" t="d">
        <x:v>2023-06-01T00:00:00.000Z</x:v>
      </x:c>
      <x:c r="D116" s="62" t="n">
        <x:v>-0.010238080634942444</x:v>
      </x:c>
      <x:c r="E116" s="62" t="n">
        <x:v>0.0012281074986329207</x:v>
      </x:c>
      <x:c r="F116" s="62" t="n">
        <x:v>-0.0010948328967510354</x:v>
      </x:c>
      <x:c r="G116" s="62" t="n">
        <x:v>-0.0013680843615529216</x:v>
      </x:c>
      <x:c r="H116" s="2"/>
      <x:c r="I116" s="2"/>
      <x:c r="J116" s="2"/>
      <x:c r="K116" s="2"/>
      <x:c r="L116" s="2"/>
      <x:c r="M116" s="2"/>
      <x:c r="N116" s="2"/>
    </x:row>
    <x:row r="117" ht="20" customHeight="1">
      <x:c r="A117" s="2"/>
      <x:c r="B117" s="2"/>
      <x:c r="C117" s="61" t="d">
        <x:v>2023-07-01T00:00:00.000Z</x:v>
      </x:c>
      <x:c r="D117" s="62" t="n">
        <x:v>0.016352523366281055</x:v>
      </x:c>
      <x:c r="E117" s="62" t="n">
        <x:v>-0.000634859544007778</x:v>
      </x:c>
      <x:c r="F117" s="62" t="n">
        <x:v>0.0010582662370663739</x:v>
      </x:c>
      <x:c r="G117" s="62" t="n">
        <x:v>0.0009396890379760498</x:v>
      </x:c>
      <x:c r="H117" s="2"/>
      <x:c r="I117" s="2"/>
      <x:c r="J117" s="2"/>
      <x:c r="K117" s="2"/>
      <x:c r="L117" s="2"/>
      <x:c r="M117" s="2"/>
      <x:c r="N117" s="2"/>
    </x:row>
    <x:row r="118" ht="20" customHeight="1">
      <x:c r="A118" s="2"/>
      <x:c r="B118" s="2"/>
      <x:c r="C118" s="61" t="d">
        <x:v>2023-08-01T00:00:00.000Z</x:v>
      </x:c>
      <x:c r="D118" s="62" t="n">
        <x:v>0.01574762187846057</x:v>
      </x:c>
      <x:c r="E118" s="62" t="n">
        <x:v>-0.004192186712942598</x:v>
      </x:c>
      <x:c r="F118" s="62" t="n">
        <x:v>0.0016464582956180673</x:v>
      </x:c>
      <x:c r="G118" s="62" t="n">
        <x:v>0.0015411525303140844</x:v>
      </x:c>
      <x:c r="H118" s="2"/>
      <x:c r="I118" s="2"/>
      <x:c r="J118" s="2"/>
      <x:c r="K118" s="2"/>
      <x:c r="L118" s="2"/>
      <x:c r="M118" s="2"/>
      <x:c r="N118" s="2"/>
    </x:row>
    <x:row r="119" ht="20" customHeight="1">
      <x:c r="A119" s="2"/>
      <x:c r="B119" s="2"/>
      <x:c r="C119" s="61" t="d">
        <x:v>2023-09-01T00:00:00.000Z</x:v>
      </x:c>
      <x:c r="D119" s="62" t="n">
        <x:v>0.044196649373140065</x:v>
      </x:c>
      <x:c r="E119" s="62" t="n">
        <x:v>0.0034621501735949563</x:v>
      </x:c>
      <x:c r="F119" s="62" t="n">
        <x:v>0.00044238788895041564</x:v>
      </x:c>
      <x:c r="G119" s="62" t="n">
        <x:v>-0.000026198934694275933</x:v>
      </x:c>
      <x:c r="H119" s="2"/>
      <x:c r="I119" s="2"/>
      <x:c r="J119" s="2"/>
      <x:c r="K119" s="2"/>
      <x:c r="L119" s="2"/>
      <x:c r="M119" s="2"/>
      <x:c r="N119" s="2"/>
    </x:row>
    <x:row r="120" ht="20" customHeight="1">
      <x:c r="A120" s="2"/>
      <x:c r="B120" s="2"/>
      <x:c r="C120" s="61" t="d">
        <x:v>2023-10-01T00:00:00.000Z</x:v>
      </x:c>
      <x:c r="D120" s="62" t="n">
        <x:v>0.022755921373913548</x:v>
      </x:c>
      <x:c r="E120" s="62" t="n">
        <x:v>-0.0017468048387641584</x:v>
      </x:c>
      <x:c r="F120" s="62" t="n">
        <x:v>0.0013793116304195619</x:v>
      </x:c>
      <x:c r="G120" s="62" t="n">
        <x:v>0.0011155091721912385</x:v>
      </x:c>
      <x:c r="H120" s="2"/>
      <x:c r="I120" s="2"/>
      <x:c r="J120" s="2"/>
      <x:c r="K120" s="2"/>
      <x:c r="L120" s="2"/>
      <x:c r="M120" s="2"/>
      <x:c r="N120" s="2"/>
    </x:row>
    <x:row r="121" ht="20" customHeight="1">
      <x:c r="A121" s="2"/>
      <x:c r="B121" s="2"/>
      <x:c r="C121" s="61" t="d">
        <x:v>2023-11-01T00:00:00.000Z</x:v>
      </x:c>
      <x:c r="D121" s="62" t="n">
        <x:v>-0.03577687624275985</x:v>
      </x:c>
      <x:c r="E121" s="62" t="n">
        <x:v>-0.0008397887282305032</x:v>
      </x:c>
      <x:c r="F121" s="62" t="n">
        <x:v>-0.000794681702990033</x:v>
      </x:c>
      <x:c r="G121" s="62" t="n">
        <x:v>-0.0002472096305544472</x:v>
      </x:c>
      <x:c r="H121" s="2"/>
      <x:c r="I121" s="2"/>
      <x:c r="J121" s="2"/>
      <x:c r="K121" s="2"/>
      <x:c r="L121" s="2"/>
      <x:c r="M121" s="2"/>
      <x:c r="N121" s="2"/>
    </x:row>
    <x:row r="122" ht="20" customHeight="1">
      <x:c r="A122" s="2"/>
      <x:c r="B122" s="2"/>
      <x:c r="C122" s="61" t="d">
        <x:v>2023-12-01T00:00:00.000Z</x:v>
      </x:c>
      <x:c r="D122" s="62" t="n">
        <x:v>-0.042203165235066016</x:v>
      </x:c>
      <x:c r="E122" s="62" t="n">
        <x:v>0.003490264155705287</x:v>
      </x:c>
      <x:c r="F122" s="62" t="n">
        <x:v>-0.002749181463864951</x:v>
      </x:c>
      <x:c r="G122" s="62" t="n">
        <x:v>-0.0022852823695377064</x:v>
      </x:c>
      <x:c r="H122" s="2"/>
      <x:c r="I122" s="2"/>
      <x:c r="J122" s="2"/>
      <x:c r="K122" s="2"/>
      <x:c r="L122" s="2"/>
      <x:c r="M122" s="2"/>
      <x:c r="N122" s="2"/>
    </x:row>
    <x:row r="123" ht="20" customHeight="1">
      <x:c r="A123" s="2"/>
      <x:c r="B123" s="2"/>
      <x:c r="C123" s="61" t="d">
        <x:v>2024-01-01T00:00:00.000Z</x:v>
      </x:c>
      <x:c r="D123" s="62" t="n">
        <x:v>0.015210074493411333</x:v>
      </x:c>
      <x:c r="E123" s="62" t="n">
        <x:v>0.00043432741509947636</x:v>
      </x:c>
      <x:c r="F123" s="62" t="n">
        <x:v>0.0002712176898795487</x:v>
      </x:c>
      <x:c r="G123" s="62" t="n">
        <x:v>0.00017471781067326974</x:v>
      </x:c>
      <x:c r="H123" s="2"/>
      <x:c r="I123" s="2"/>
      <x:c r="J123" s="2"/>
      <x:c r="K123" s="2"/>
      <x:c r="L123" s="2"/>
      <x:c r="M123" s="2"/>
      <x:c r="N123" s="2"/>
    </x:row>
    <x:row r="124" ht="20" customHeight="1">
      <x:c r="A124" s="2"/>
      <x:c r="B124" s="2"/>
      <x:c r="C124" s="61" t="d">
        <x:v>2024-02-01T00:00:00.000Z</x:v>
      </x:c>
      <x:c r="D124" s="62" t="n">
        <x:v>0.005143861167668499</x:v>
      </x:c>
      <x:c r="E124" s="62" t="n">
        <x:v>-0.002122680305229339</x:v>
      </x:c>
      <x:c r="F124" s="62" t="n">
        <x:v>0.0008956141422283122</x:v>
      </x:c>
      <x:c r="G124" s="62" t="n">
        <x:v>0.0006148145255322969</x:v>
      </x:c>
      <x:c r="H124" s="2"/>
      <x:c r="I124" s="2"/>
      <x:c r="J124" s="2"/>
      <x:c r="K124" s="2"/>
      <x:c r="L124" s="2"/>
      <x:c r="M124" s="2"/>
      <x:c r="N124" s="2"/>
    </x:row>
    <x:row r="125" ht="20" customHeight="1">
      <x:c r="A125" s="2"/>
      <x:c r="B125" s="2"/>
      <x:c r="C125" s="61" t="d">
        <x:v>2024-03-01T00:00:00.000Z</x:v>
      </x:c>
      <x:c r="D125" s="62" t="n">
        <x:v>-0.00513948616449959</x:v>
      </x:c>
      <x:c r="E125" s="62" t="n">
        <x:v>0.00009849731618464547</x:v>
      </x:c>
      <x:c r="F125" s="62" t="n">
        <x:v>-0.0002931760011561397</x:v>
      </x:c>
      <x:c r="G125" s="62" t="n">
        <x:v>-0.00024371488000585138</x:v>
      </x:c>
      <x:c r="H125" s="2"/>
      <x:c r="I125" s="2"/>
      <x:c r="J125" s="2"/>
      <x:c r="K125" s="2"/>
      <x:c r="L125" s="2"/>
      <x:c r="M125" s="2"/>
      <x:c r="N125" s="2"/>
    </x:row>
    <x:row r="126" ht="20" customHeight="1">
      <x:c r="A126" s="2"/>
      <x:c r="B126" s="2"/>
      <x:c r="C126" s="61" t="d">
        <x:v>2024-04-01T00:00:00.000Z</x:v>
      </x:c>
      <x:c r="D126" s="62" t="n">
        <x:v>0.026953659708213052</x:v>
      </x:c>
      <x:c r="E126" s="62" t="n">
        <x:v>-0.0028149590616684842</x:v>
      </x:c>
      <x:c r="F126" s="62" t="n">
        <x:v>0.0014530571459567029</x:v>
      </x:c>
      <x:c r="G126" s="62" t="n">
        <x:v>0.000961096591208165</x:v>
      </x:c>
      <x:c r="H126" s="2"/>
      <x:c r="I126" s="2"/>
      <x:c r="J126" s="2"/>
      <x:c r="K126" s="2"/>
      <x:c r="L126" s="2"/>
      <x:c r="M126" s="2"/>
      <x:c r="N126" s="2"/>
    </x:row>
    <x:row r="127" ht="20" customHeight="1">
      <x:c r="A127" s="2"/>
      <x:c r="B127" s="2"/>
      <x:c r="C127" s="61" t="d">
        <x:v>2024-05-01T00:00:00.000Z</x:v>
      </x:c>
      <x:c r="D127" s="62" t="n">
        <x:v>-0.008622608564723314</x:v>
      </x:c>
      <x:c r="E127" s="62" t="n">
        <x:v>0.004301039343838585</x:v>
      </x:c>
      <x:c r="F127" s="62" t="n">
        <x:v>-0.0013751111347230552</x:v>
      </x:c>
      <x:c r="G127" s="62" t="n">
        <x:v>-0.0011973991620204299</x:v>
      </x:c>
      <x:c r="H127" s="2"/>
      <x:c r="I127" s="2"/>
      <x:c r="J127" s="2"/>
      <x:c r="K127" s="2"/>
      <x:c r="L127" s="2"/>
      <x:c r="M127" s="2"/>
      <x:c r="N127" s="2"/>
    </x:row>
    <x:row r="128" ht="20" customHeight="1">
      <x:c r="A128" s="2"/>
      <x:c r="B128" s="2"/>
      <x:c r="C128" s="61" t="d">
        <x:v>2024-06-01T00:00:00.000Z</x:v>
      </x:c>
      <x:c r="D128" s="62" t="n">
        <x:v>-0.007509342695488192</x:v>
      </x:c>
      <x:c r="E128" s="62" t="n">
        <x:v>-0.0019124016004392374</x:v>
      </x:c>
      <x:c r="F128" s="62" t="n">
        <x:v>0.00047140703762643834</x:v>
      </x:c>
      <x:c r="G128" s="62" t="n">
        <x:v>0.0006565337968387884</x:v>
      </x:c>
      <x:c r="H128" s="2"/>
      <x:c r="I128" s="2"/>
      <x:c r="J128" s="2"/>
      <x:c r="K128" s="2"/>
      <x:c r="L128" s="2"/>
      <x:c r="M128" s="2"/>
      <x:c r="N128" s="2"/>
    </x:row>
    <x:row r="129" ht="20" customHeight="1">
      <x:c r="A129" s="2"/>
      <x:c r="B129" s="2"/>
      <x:c r="C129" s="61" t="d">
        <x:v>2024-07-01T00:00:00.000Z</x:v>
      </x:c>
      <x:c r="D129" s="62" t="n">
        <x:v>-0.005458962566679241</x:v>
      </x:c>
      <x:c r="E129" s="62" t="n">
        <x:v>0.001830744529629022</x:v>
      </x:c>
      <x:c r="F129" s="62" t="n">
        <x:v>-0.000702320269305886</x:v>
      </x:c>
      <x:c r="G129" s="62" t="n">
        <x:v>-0.0004106505926068253</x:v>
      </x:c>
      <x:c r="H129" s="2"/>
      <x:c r="I129" s="2"/>
      <x:c r="J129" s="2"/>
      <x:c r="K129" s="2"/>
      <x:c r="L129" s="2"/>
      <x:c r="M129" s="2"/>
      <x:c r="N129" s="2"/>
    </x:row>
    <x:row r="130" ht="20" customHeight="1">
      <x:c r="A130" s="2"/>
      <x:c r="B130" s="2"/>
      <x:c r="C130" s="61" t="d">
        <x:v>2024-08-01T00:00:00.000Z</x:v>
      </x:c>
      <x:c r="D130" s="62" t="n">
        <x:v>-0.007948546822273453</x:v>
      </x:c>
      <x:c r="E130" s="62" t="n">
        <x:v>0.0015705064645518195</x:v>
      </x:c>
      <x:c r="F130" s="62" t="n">
        <x:v>-0.000957513724820624</x:v>
      </x:c>
      <x:c r="G130" s="62" t="n">
        <x:v>-0.0008118343587285314</x:v>
      </x:c>
      <x:c r="H130" s="2"/>
      <x:c r="I130" s="2"/>
      <x:c r="J130" s="2"/>
      <x:c r="K130" s="2"/>
      <x:c r="L130" s="2"/>
      <x:c r="M130" s="2"/>
      <x:c r="N130" s="2"/>
    </x:row>
    <x:row r="131" ht="20" customHeight="1">
      <x:c r="A131" s="2"/>
      <x:c r="B131" s="2"/>
      <x:c r="C131" s="61" t="d">
        <x:v>2024-09-01T00:00:00.000Z</x:v>
      </x:c>
      <x:c r="D131" s="62" t="n">
        <x:v>-0.004247198073755365</x:v>
      </x:c>
      <x:c r="E131" s="62" t="n">
        <x:v>-0.00011463506933382484</x:v>
      </x:c>
      <x:c r="F131" s="62" t="n">
        <x:v>-0.00025742563346541287</x:v>
      </x:c>
      <x:c r="G131" s="62" t="n">
        <x:v>-0.00018037000601977372</x:v>
      </x:c>
      <x:c r="H131" s="2"/>
      <x:c r="I131" s="2"/>
      <x:c r="J131" s="2"/>
      <x:c r="K131" s="2"/>
      <x:c r="L131" s="2"/>
      <x:c r="M131" s="2"/>
      <x:c r="N131" s="2"/>
    </x:row>
    <x:row r="132" ht="20" customHeight="1">
      <x:c r="A132" s="2"/>
      <x:c r="B132" s="2"/>
      <x:c r="C132" s="61" t="d">
        <x:v>2024-10-01T00:00:00.000Z</x:v>
      </x:c>
      <x:c r="D132" s="62" t="n">
        <x:v>0.017827437153326894</x:v>
      </x:c>
      <x:c r="E132" s="62" t="n">
        <x:v>-0.0008124688351605306</x:v>
      </x:c>
      <x:c r="F132" s="62" t="n">
        <x:v>0.0008829919538066262</x:v>
      </x:c>
      <x:c r="G132" s="62" t="n">
        <x:v>0.0003914210845528749</x:v>
      </x:c>
      <x:c r="H132" s="2"/>
      <x:c r="I132" s="2"/>
      <x:c r="J132" s="2"/>
      <x:c r="K132" s="2"/>
      <x:c r="L132" s="2"/>
      <x:c r="M132" s="2"/>
      <x:c r="N132" s="2"/>
    </x:row>
    <x:row r="133" ht="20" customHeight="1">
      <x:c r="A133" s="2"/>
      <x:c r="B133" s="2"/>
      <x:c r="C133" s="61" t="d">
        <x:v>2024-11-01T00:00:00.000Z</x:v>
      </x:c>
      <x:c r="D133" s="62" t="n">
        <x:v>-0.006621957648290322</x:v>
      </x:c>
      <x:c r="E133" s="62" t="n">
        <x:v>-0.0025202493235741497</x:v>
      </x:c>
      <x:c r="F133" s="62" t="n">
        <x:v>0.0008617824202511898</x:v>
      </x:c>
      <x:c r="G133" s="62" t="n">
        <x:v>0.0009929314289177425</x:v>
      </x:c>
      <x:c r="H133" s="2"/>
      <x:c r="I133" s="2"/>
      <x:c r="J133" s="2"/>
      <x:c r="K133" s="2"/>
      <x:c r="L133" s="2"/>
      <x:c r="M133" s="2"/>
      <x:c r="N133" s="2"/>
    </x:row>
    <x:row r="134" ht="20" customHeight="1">
      <x:c r="A134" s="2"/>
      <x:c r="B134" s="2"/>
      <x:c r="C134" s="61" t="d">
        <x:v>2024-12-01T00:00:00.000Z</x:v>
      </x:c>
      <x:c r="D134" s="62" t="n">
        <x:v>0.030023788867009932</x:v>
      </x:c>
      <x:c r="E134" s="62" t="n">
        <x:v>-0.000567570009641923</x:v>
      </x:c>
      <x:c r="F134" s="62" t="n">
        <x:v>0.0009546665053517118</x:v>
      </x:c>
      <x:c r="G134" s="62" t="n">
        <x:v>0.0005546216558360514</x:v>
      </x:c>
      <x:c r="H134" s="2"/>
      <x:c r="I134" s="2"/>
      <x:c r="J134" s="2"/>
      <x:c r="K134" s="2"/>
      <x:c r="L134" s="2"/>
      <x:c r="M134" s="2"/>
      <x:c r="N134" s="2"/>
    </x:row>
    <x:row r="135" ht="20" customHeight="1">
      <x:c r="A135" s="2"/>
      <x:c r="B135" s="2"/>
      <x:c r="C135" s="61" t="d">
        <x:v>2025-01-01T00:00:00.000Z</x:v>
      </x:c>
      <x:c r="D135" s="62" t="n">
        <x:v>0.0026631323291042125</x:v>
      </x:c>
      <x:c r="E135" s="62" t="n">
        <x:v>0.0029472654058928433</x:v>
      </x:c>
      <x:c r="F135" s="62" t="n">
        <x:v>-0.0010026330101537292</x:v>
      </x:c>
      <x:c r="G135" s="62" t="n">
        <x:v>-0.0010072553219555008</x:v>
      </x:c>
      <x:c r="H135" s="2"/>
      <x:c r="I135" s="2"/>
      <x:c r="J135" s="2"/>
      <x:c r="K135" s="2"/>
      <x:c r="L135" s="2"/>
      <x:c r="M135" s="2"/>
      <x:c r="N135" s="2"/>
    </x:row>
    <x:row r="136" ht="20" customHeight="1">
      <x:c r="A136" s="2"/>
      <x:c r="B136" s="2"/>
      <x:c r="C136" s="61" t="d">
        <x:v>2025-02-01T00:00:00.000Z</x:v>
      </x:c>
      <x:c r="D136" s="62" t="n">
        <x:v>-0.022022326293551962</x:v>
      </x:c>
      <x:c r="E136" s="62" t="n">
        <x:v>0.0000712199747948924</x:v>
      </x:c>
      <x:c r="F136" s="62" t="n">
        <x:v>-0.0006723339768014427</x:v>
      </x:c>
      <x:c r="G136" s="62" t="n">
        <x:v>-0.0003030616286642398</x:v>
      </x:c>
      <x:c r="H136" s="2"/>
      <x:c r="I136" s="2"/>
      <x:c r="J136" s="2"/>
      <x:c r="K136" s="2"/>
      <x:c r="L136" s="2"/>
      <x:c r="M136" s="2"/>
      <x:c r="N136" s="2"/>
    </x:row>
    <x:row r="137" ht="20" customHeight="1">
      <x:c r="A137" s="2"/>
      <x:c r="B137" s="2"/>
      <x:c r="C137" s="61" t="d">
        <x:v>2025-03-01T00:00:00.000Z</x:v>
      </x:c>
      <x:c r="D137" s="62" t="n">
        <x:v>0.009159789932200676</x:v>
      </x:c>
      <x:c r="E137" s="62" t="n">
        <x:v>-0.00009119658027687791</x:v>
      </x:c>
      <x:c r="F137" s="62" t="n">
        <x:v>0.0004426937226883127</x:v>
      </x:c>
      <x:c r="G137" s="62" t="n">
        <x:v>0.0004915265688018225</x:v>
      </x:c>
      <x:c r="H137" s="2"/>
      <x:c r="I137" s="2"/>
      <x:c r="J137" s="2"/>
      <x:c r="K137" s="2"/>
      <x:c r="L137" s="2"/>
      <x:c r="M137" s="2"/>
      <x:c r="N137" s="2"/>
    </x:row>
    <x:row r="138" ht="20" customHeight="1">
      <x:c r="A138" s="2"/>
      <x:c r="B138" s="2"/>
      <x:c r="C138" s="61" t="d">
        <x:v>2025-04-01T00:00:00.000Z</x:v>
      </x:c>
      <x:c r="D138" s="62" t="n">
        <x:v>0.015798937363990146</x:v>
      </x:c>
      <x:c r="E138" s="62" t="n">
        <x:v>-0.00007861748675980935</x:v>
      </x:c>
      <x:c r="F138" s="62" t="n">
        <x:v>0.000867145039797587</x:v>
      </x:c>
      <x:c r="G138" s="62" t="n">
        <x:v>0.0010293999044541661</x:v>
      </x:c>
      <x:c r="H138" s="2"/>
      <x:c r="I138" s="2"/>
      <x:c r="J138" s="2"/>
      <x:c r="K138" s="2"/>
      <x:c r="L138" s="2"/>
      <x:c r="M138" s="2"/>
      <x:c r="N138" s="2"/>
    </x:row>
    <x:row r="139" ht="20" customHeight="1">
      <x:c r="A139" s="2"/>
      <x:c r="B139" s="2"/>
      <x:c r="C139" s="61" t="d">
        <x:v>2025-05-01T00:00:00.000Z</x:v>
      </x:c>
      <x:c r="D139" s="62" t="n">
        <x:v>0.017488276469114356</x:v>
      </x:c>
      <x:c r="E139" s="62" t="n">
        <x:v>-0.0010492002849748626</x:v>
      </x:c>
      <x:c r="F139" s="62" t="n">
        <x:v>0.0010686873155598957</x:v>
      </x:c>
      <x:c r="G139" s="62" t="n">
        <x:v>0.0008479973154777491</x:v>
      </x:c>
      <x:c r="H139" s="2"/>
      <x:c r="I139" s="2"/>
      <x:c r="J139" s="2"/>
      <x:c r="K139" s="2"/>
      <x:c r="L139" s="2"/>
      <x:c r="M139" s="2"/>
      <x:c r="N139" s="2"/>
    </x:row>
    <x:row r="140" ht="20" customHeight="1">
      <x:c r="A140" s="2"/>
      <x:c r="B140" s="2"/>
      <x:c r="C140" s="61" t="d">
        <x:v>2025-06-01T00:00:00.000Z</x:v>
      </x:c>
      <x:c r="D140" s="62" t="n">
        <x:v>-0.010971552414291728</x:v>
      </x:c>
      <x:c r="E140" s="62" t="n">
        <x:v>0.0009280675564824685</x:v>
      </x:c>
      <x:c r="F140" s="62" t="n">
        <x:v>-0.000805486333565845</x:v>
      </x:c>
      <x:c r="G140" s="62" t="n">
        <x:v>-0.0006118235293311058</x:v>
      </x:c>
      <x:c r="H140" s="2"/>
      <x:c r="I140" s="2"/>
      <x:c r="J140" s="2"/>
      <x:c r="K140" s="2"/>
      <x:c r="L140" s="2"/>
      <x:c r="M140" s="2"/>
      <x:c r="N140" s="2"/>
    </x:row>
    <x:row r="141" ht="20" customHeight="1">
      <x:c r="A141" s="2"/>
      <x:c r="B141" s="2"/>
      <x:c r="C141" s="61" t="d">
        <x:v>2025-07-01T00:00:00.000Z</x:v>
      </x:c>
      <x:c r="D141" s="62" t="n">
        <x:v>0.0038769937433994405</x:v>
      </x:c>
      <x:c r="E141" s="62" t="n">
        <x:v>-0.0007362346796721791</x:v>
      </x:c>
      <x:c r="F141" s="62" t="n">
        <x:v>0.00039239817787099866</x:v>
      </x:c>
      <x:c r="G141" s="62" t="n">
        <x:v>0.0002670099464662828</x:v>
      </x:c>
      <x:c r="H141" s="2"/>
      <x:c r="I141" s="2"/>
      <x:c r="J141" s="2"/>
      <x:c r="K141" s="2"/>
      <x:c r="L141" s="2"/>
      <x:c r="M141" s="2"/>
      <x:c r="N141" s="2"/>
    </x:row>
    <x:row r="142" ht="20" customHeight="1">
      <x:c r="A142" s="2"/>
      <x:c r="B142" s="2"/>
      <x:c r="C142" s="61" t="d">
        <x:v>2025-08-01T00:00:00.000Z</x:v>
      </x:c>
      <x:c r="D142" s="62" t="n">
        <x:v>0.009107151360697611</x:v>
      </x:c>
      <x:c r="E142" s="62" t="n">
        <x:v>0.00007184603541135714</x:v>
      </x:c>
      <x:c r="F142" s="62" t="n">
        <x:v>0.0003466878049330752</x:v>
      </x:c>
      <x:c r="G142" s="62" t="n">
        <x:v>0.00052850183842505</x:v>
      </x:c>
      <x:c r="H142" s="2"/>
      <x:c r="I142" s="2"/>
      <x:c r="J142" s="2"/>
      <x:c r="K142" s="2"/>
      <x:c r="L142" s="2"/>
      <x:c r="M142" s="2"/>
      <x:c r="N142" s="2"/>
    </x:row>
    <x:row r="143" ht="20" customHeight="1">
      <x:c r="A143" s="2"/>
      <x:c r="B143" s="2"/>
      <x:c r="C143" s="61" t="d">
        <x:v>2025-09-01T00:00:00.000Z</x:v>
      </x:c>
      <x:c r="D143" s="62" t="n">
        <x:v>-0.02093279507159176</x:v>
      </x:c>
      <x:c r="E143" s="62" t="n">
        <x:v>0.00029470221816150594</x:v>
      </x:c>
      <x:c r="F143" s="62" t="n">
        <x:v>-0.0010050897627617533</x:v>
      </x:c>
      <x:c r="G143" s="62" t="n">
        <x:v>-0.00100355071268936</x:v>
      </x:c>
      <x:c r="H143" s="2"/>
      <x:c r="I143" s="2"/>
      <x:c r="J143" s="2"/>
      <x:c r="K143" s="2"/>
      <x:c r="L143" s="2"/>
      <x:c r="M143" s="2"/>
      <x:c r="N143" s="2"/>
    </x:row>
    <x:row r="144" ht="20" customHeight="1">
      <x:c r="A144" s="2"/>
      <x:c r="B144" s="2"/>
      <x:c r="C144" s="61" t="d">
        <x:v>2025-10-01T00:00:00.000Z</x:v>
      </x:c>
      <x:c r="D144" s="62" t="n">
        <x:v>-0.005823205320243665</x:v>
      </x:c>
      <x:c r="E144" s="62" t="n">
        <x:v>-0.00028911503563811545</x:v>
      </x:c>
      <x:c r="F144" s="62" t="n">
        <x:v>-0.00006294296923553068</x:v>
      </x:c>
      <x:c r="G144" s="62" t="n">
        <x:v>-0.000007882829853669267</x:v>
      </x:c>
      <x:c r="H144" s="2"/>
      <x:c r="I144" s="2"/>
      <x:c r="J144" s="2"/>
      <x:c r="K144" s="2"/>
      <x:c r="L144" s="2"/>
      <x:c r="M144" s="2"/>
      <x:c r="N144" s="2"/>
    </x:row>
    <x:row r="145" ht="20" customHeight="1">
      <x:c r="A145" s="2"/>
      <x:c r="B145" s="2"/>
      <x:c r="C145" s="61" t="d">
        <x:v>2025-11-01T00:00:00.000Z</x:v>
      </x:c>
      <x:c r="D145" s="62" t="n">
        <x:v>0.002814670148245573</x:v>
      </x:c>
      <x:c r="E145" s="62" t="n">
        <x:v>-0.0003416950153315379</x:v>
      </x:c>
      <x:c r="F145" s="62" t="n">
        <x:v>0.00024491116068944125</x:v>
      </x:c>
      <x:c r="G145" s="62" t="n">
        <x:v>0.00034571636638953366</x:v>
      </x:c>
      <x:c r="H145" s="2"/>
      <x:c r="I145" s="2"/>
      <x:c r="J145" s="2"/>
      <x:c r="K145" s="2"/>
      <x:c r="L145" s="2"/>
      <x:c r="M145" s="2"/>
      <x:c r="N145" s="2"/>
    </x:row>
    <x:row r="146" ht="20" customHeight="1">
      <x:c r="A146" s="2"/>
      <x:c r="B146" s="2"/>
      <x:c r="C146" s="61" t="d">
        <x:v>2025-12-01T00:00:00.000Z</x:v>
      </x:c>
      <x:c r="D146" s="62" t="n">
        <x:v>0.01251375719671266</x:v>
      </x:c>
      <x:c r="E146" s="62" t="n">
        <x:v>0.0015031181574065055</x:v>
      </x:c>
      <x:c r="F146" s="62" t="n">
        <x:v>-0.00032055524501667664</x:v>
      </x:c>
      <x:c r="G146" s="62" t="n">
        <x:v>-0.0004981845857675301</x:v>
      </x:c>
      <x:c r="H146" s="2"/>
      <x:c r="I146" s="2"/>
      <x:c r="J146" s="2"/>
      <x:c r="K146" s="2"/>
      <x:c r="L146" s="2"/>
      <x:c r="M146" s="2"/>
      <x:c r="N146" s="2"/>
    </x:row>
    <x:row r="147" ht="20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</x:row>
    <x:row r="148" ht="20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</x:row>
    <x:row r="149" ht="20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" hidden="0" customWidth="1"/>
    <x:col min="2" max="2" width="2" hidden="0" customWidth="1"/>
    <x:col min="3" max="3" width="29" hidden="0" customWidth="1"/>
    <x:col min="4" max="4" width="16" hidden="0" customWidth="1"/>
    <x:col min="5" max="5" width="16" hidden="0" customWidth="1"/>
    <x:col min="6" max="6" width="3" hidden="0" customWidth="1"/>
    <x:col min="7" max="7" width="33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</x:cols>
  <x:sheetData>
    <x:row r="1" ht="2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0" customHeight="1">
      <x:c r="A2" s="2"/>
      <x:c r="B2" s="2"/>
      <x:c r="C2" s="4" t="str">
        <x:v>Pinned source inputs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</x:row>
    <x:row r="3" ht="2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0" customHeight="1">
      <x:c r="A4" s="2"/>
      <x:c r="B4" s="2"/>
      <x:c r="C4" s="2" t="str">
        <x:v>Current curve date</x:v>
      </x:c>
      <x:c r="D4" s="25" t="d">
        <x:v>2026-09-30T00:00:00.000Z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0" customHeight="1">
      <x:c r="A5" s="2"/>
      <x:c r="B5" s="2"/>
      <x:c r="C5" s="2"/>
      <x:c r="D5" s="26"/>
      <x:c r="E5" s="2"/>
      <x:c r="F5" s="2"/>
      <x:c r="G5" s="2" t="str">
        <x:v>Fixed inception zero-bond faces (USD)</x:v>
      </x:c>
      <x:c r="H5" s="2"/>
      <x:c r="I5" s="2"/>
      <x:c r="J5" s="2"/>
      <x:c r="K5" s="2"/>
      <x:c r="L5" s="2"/>
      <x:c r="M5" s="2"/>
      <x:c r="N5" s="2"/>
      <x:c r="O5" s="2"/>
    </x:row>
    <x:row r="6" ht="20" customHeight="1">
      <x:c r="A6" s="2"/>
      <x:c r="B6" s="2"/>
      <x:c r="C6" s="2" t="str">
        <x:v>BETA0 (%)</x:v>
      </x:c>
      <x:c r="D6" s="27" t="n">
        <x:v>2.220637762132e-14</x:v>
      </x:c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34" customHeight="1">
      <x:c r="A7" s="2"/>
      <x:c r="B7" s="2"/>
      <x:c r="C7" s="2" t="str">
        <x:v>BETA1 (%)</x:v>
      </x:c>
      <x:c r="D7" s="27" t="n">
        <x:v>3.9277698129101</x:v>
      </x:c>
      <x:c r="E7" s="2"/>
      <x:c r="F7" s="2"/>
      <x:c r="G7" s="17" t="str">
        <x:v>Maturity (years)</x:v>
      </x:c>
      <x:c r="H7" s="18" t="str">
        <x:v>Five-year zero</x:v>
      </x:c>
      <x:c r="I7" s="18" t="str">
        <x:v>Duration match</x:v>
      </x:c>
      <x:c r="J7" s="18" t="str">
        <x:v>Key-rate hedge</x:v>
      </x:c>
      <x:c r="K7" s="19" t="str">
        <x:v>Covariance hedge</x:v>
      </x:c>
      <x:c r="L7" s="2"/>
      <x:c r="M7" s="2"/>
      <x:c r="N7" s="2"/>
      <x:c r="O7" s="2"/>
    </x:row>
    <x:row r="8" ht="20" customHeight="1">
      <x:c r="A8" s="2"/>
      <x:c r="B8" s="2"/>
      <x:c r="C8" s="2" t="str">
        <x:v>BETA2 (%)</x:v>
      </x:c>
      <x:c r="D8" s="27" t="n">
        <x:v>5.27031980138786</x:v>
      </x:c>
      <x:c r="E8" s="2"/>
      <x:c r="F8" s="2"/>
      <x:c r="G8" s="26" t="n">
        <x:v>1</x:v>
      </x:c>
      <x:c r="H8" s="29" t="n">
        <x:v>0</x:v>
      </x:c>
      <x:c r="I8" s="29" t="n">
        <x:v>0</x:v>
      </x:c>
      <x:c r="J8" s="29" t="n">
        <x:v>28123545.34900219</x:v>
      </x:c>
      <x:c r="K8" s="29" t="n">
        <x:v>25058322.544199433</x:v>
      </x:c>
      <x:c r="L8" s="2"/>
      <x:c r="M8" s="2"/>
      <x:c r="N8" s="2"/>
      <x:c r="O8" s="2"/>
    </x:row>
    <x:row r="9" ht="20" customHeight="1">
      <x:c r="A9" s="2"/>
      <x:c r="B9" s="2"/>
      <x:c r="C9" s="2" t="str">
        <x:v>BETA3 (%)</x:v>
      </x:c>
      <x:c r="D9" s="27" t="n">
        <x:v>17.0928160768659</x:v>
      </x:c>
      <x:c r="E9" s="2"/>
      <x:c r="F9" s="2"/>
      <x:c r="G9" s="26" t="n">
        <x:v>5</x:v>
      </x:c>
      <x:c r="H9" s="29" t="n">
        <x:v>153607122.35765728</x:v>
      </x:c>
      <x:c r="I9" s="29" t="n">
        <x:v>118036089.9513738</x:v>
      </x:c>
      <x:c r="J9" s="29" t="n">
        <x:v>47265309.14233014</x:v>
      </x:c>
      <x:c r="K9" s="29" t="n">
        <x:v>50493885.382218294</x:v>
      </x:c>
      <x:c r="L9" s="2"/>
      <x:c r="M9" s="2"/>
      <x:c r="N9" s="2"/>
      <x:c r="O9" s="2"/>
    </x:row>
    <x:row r="10" ht="20" customHeight="1">
      <x:c r="A10" s="2"/>
      <x:c r="B10" s="2"/>
      <x:c r="C10" s="2" t="str">
        <x:v>TAU1 (years)</x:v>
      </x:c>
      <x:c r="D10" s="27" t="n">
        <x:v>1.86454967884118</x:v>
      </x:c>
      <x:c r="E10" s="2"/>
      <x:c r="F10" s="2"/>
      <x:c r="G10" s="26" t="n">
        <x:v>10</x:v>
      </x:c>
      <x:c r="H10" s="29" t="n">
        <x:v>0</x:v>
      </x:c>
      <x:c r="I10" s="29" t="n">
        <x:v>0</x:v>
      </x:c>
      <x:c r="J10" s="29" t="n">
        <x:v>63757574.86123827</x:v>
      </x:c>
      <x:c r="K10" s="29" t="n">
        <x:v>64376735.237813994</x:v>
      </x:c>
      <x:c r="L10" s="2"/>
      <x:c r="M10" s="2"/>
      <x:c r="N10" s="2"/>
      <x:c r="O10" s="2"/>
    </x:row>
    <x:row r="11" ht="20" customHeight="1">
      <x:c r="A11" s="2"/>
      <x:c r="B11" s="2"/>
      <x:c r="C11" s="2" t="str">
        <x:v>TAU2 (years)</x:v>
      </x:c>
      <x:c r="D11" s="27" t="n">
        <x:v>15.7025187144884</x:v>
      </x:c>
      <x:c r="E11" s="2"/>
      <x:c r="F11" s="2"/>
      <x:c r="G11" s="26" t="n">
        <x:v>20</x:v>
      </x:c>
      <x:c r="H11" s="29" t="n">
        <x:v>0</x:v>
      </x:c>
      <x:c r="I11" s="29" t="n">
        <x:v>87132624.44809805</x:v>
      </x:c>
      <x:c r="J11" s="29" t="n">
        <x:v>48389573.80634576</x:v>
      </x:c>
      <x:c r="K11" s="29" t="n">
        <x:v>48321974.81880257</x:v>
      </x:c>
      <x:c r="L11" s="2"/>
      <x:c r="M11" s="2"/>
      <x:c r="N11" s="2"/>
      <x:c r="O11" s="2"/>
    </x:row>
    <x:row r="12" ht="20" customHeight="1">
      <x:c r="A12" s="2"/>
      <x:c r="B12" s="2"/>
      <x:c r="C12" s="2"/>
      <x:c r="D12" s="2"/>
      <x:c r="E12" s="2"/>
      <x:c r="F12" s="2"/>
      <x:c r="G12" s="26" t="n">
        <x:v>30</x:v>
      </x:c>
      <x:c r="H12" s="29" t="n">
        <x:v>0</x:v>
      </x:c>
      <x:c r="I12" s="29" t="n">
        <x:v>0</x:v>
      </x:c>
      <x:c r="J12" s="29" t="n">
        <x:v>15501670.850167861</x:v>
      </x:c>
      <x:c r="K12" s="29" t="n">
        <x:v>15916632.106992751</x:v>
      </x:c>
      <x:c r="L12" s="2"/>
      <x:c r="M12" s="2"/>
      <x:c r="N12" s="2"/>
      <x:c r="O12" s="2"/>
    </x:row>
    <x:row r="13" ht="2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34" customHeight="1">
      <x:c r="A14" s="2"/>
      <x:c r="B14" s="2"/>
      <x:c r="C14" s="17" t="str">
        <x:v>Age last birthday</x:v>
      </x:c>
      <x:c r="D14" s="18" t="str">
        <x:v>Male qx</x:v>
      </x:c>
      <x:c r="E14" s="19" t="str">
        <x:v>Female qx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34" customHeight="1">
      <x:c r="A15" s="2"/>
      <x:c r="B15" s="2"/>
      <x:c r="C15" s="26" t="n">
        <x:v>0</x:v>
      </x:c>
      <x:c r="D15" s="28" t="n">
        <x:v>0.006015</x:v>
      </x:c>
      <x:c r="E15" s="28" t="n">
        <x:v>0.005125</x:v>
      </x:c>
      <x:c r="F15" s="2"/>
      <x:c r="G15" s="17" t="str">
        <x:v>Maturity (years)</x:v>
      </x:c>
      <x:c r="H15" s="18" t="str">
        <x:v>Published SVENY</x:v>
      </x:c>
      <x:c r="I15" s="19" t="str">
        <x:v>Reconstruction error (bp)</x:v>
      </x:c>
      <x:c r="J15" s="2"/>
      <x:c r="K15" s="2"/>
      <x:c r="L15" s="2"/>
      <x:c r="M15" s="2"/>
      <x:c r="N15" s="2"/>
      <x:c r="O15" s="2"/>
    </x:row>
    <x:row r="16" ht="20" customHeight="1">
      <x:c r="A16" s="2"/>
      <x:c r="B16" s="2"/>
      <x:c r="C16" s="26" t="n">
        <x:v>1</x:v>
      </x:c>
      <x:c r="D16" s="28" t="n">
        <x:v>0.000479</x:v>
      </x:c>
      <x:c r="E16" s="28" t="n">
        <x:v>0.000392</x:v>
      </x:c>
      <x:c r="F16" s="2"/>
      <x:c r="G16" s="26" t="n">
        <x:v>1</x:v>
      </x:c>
      <x:c r="H16" s="30" t="n">
        <x:v>0.045583</x:v>
      </x:c>
      <x:c r="I16" s="49" t="n">
        <x:f>('Curve'!H7-H16)*10000</x:f>
        <x:v>-0.0010860417969105196</x:v>
      </x:c>
      <x:c r="J16" s="2"/>
      <x:c r="K16" s="2"/>
      <x:c r="L16" s="2"/>
      <x:c r="M16" s="2"/>
      <x:c r="N16" s="2"/>
      <x:c r="O16" s="2"/>
    </x:row>
    <x:row r="17" ht="20" customHeight="1">
      <x:c r="A17" s="2"/>
      <x:c r="B17" s="2"/>
      <x:c r="C17" s="26" t="n">
        <x:v>2</x:v>
      </x:c>
      <x:c r="D17" s="28" t="n">
        <x:v>0.00032</x:v>
      </x:c>
      <x:c r="E17" s="28" t="n">
        <x:v>0.000229</x:v>
      </x:c>
      <x:c r="F17" s="2"/>
      <x:c r="G17" s="26" t="n">
        <x:v>2</x:v>
      </x:c>
      <x:c r="H17" s="30" t="n">
        <x:v>0.04839</x:v>
      </x:c>
      <x:c r="I17" s="49" t="n">
        <x:f>('Curve'!H8-H17)*10000</x:f>
        <x:v>-0.00423164836130252</x:v>
      </x:c>
      <x:c r="J17" s="2"/>
      <x:c r="K17" s="2"/>
      <x:c r="L17" s="2"/>
      <x:c r="M17" s="2"/>
      <x:c r="N17" s="2"/>
      <x:c r="O17" s="2"/>
    </x:row>
    <x:row r="18" ht="20" customHeight="1">
      <x:c r="A18" s="2"/>
      <x:c r="B18" s="2"/>
      <x:c r="C18" s="26" t="n">
        <x:v>3</x:v>
      </x:c>
      <x:c r="D18" s="28" t="n">
        <x:v>0.000249</x:v>
      </x:c>
      <x:c r="E18" s="28" t="n">
        <x:v>0.000188</x:v>
      </x:c>
      <x:c r="F18" s="2"/>
      <x:c r="G18" s="26" t="n">
        <x:v>3</x:v>
      </x:c>
      <x:c r="H18" s="30" t="n">
        <x:v>0.049573</x:v>
      </x:c>
      <x:c r="I18" s="49" t="n">
        <x:f>('Curve'!H9-H18)*10000</x:f>
        <x:v>0.0026009398084586577</x:v>
      </x:c>
      <x:c r="J18" s="2"/>
      <x:c r="K18" s="2"/>
      <x:c r="L18" s="2"/>
      <x:c r="M18" s="2"/>
      <x:c r="N18" s="2"/>
      <x:c r="O18" s="2"/>
    </x:row>
    <x:row r="19" ht="20" customHeight="1">
      <x:c r="A19" s="2"/>
      <x:c r="B19" s="2"/>
      <x:c r="C19" s="26" t="n">
        <x:v>4</x:v>
      </x:c>
      <x:c r="D19" s="28" t="n">
        <x:v>0.000194</x:v>
      </x:c>
      <x:c r="E19" s="28" t="n">
        <x:v>0.000155</x:v>
      </x:c>
      <x:c r="F19" s="2"/>
      <x:c r="G19" s="26" t="n">
        <x:v>4</x:v>
      </x:c>
      <x:c r="H19" s="30" t="n">
        <x:v>0.050094</x:v>
      </x:c>
      <x:c r="I19" s="49" t="n">
        <x:f>('Curve'!H10-H19)*10000</x:f>
        <x:v>-0.0025831869450432254</x:v>
      </x:c>
      <x:c r="J19" s="2"/>
      <x:c r="K19" s="2"/>
      <x:c r="L19" s="2"/>
      <x:c r="M19" s="2"/>
      <x:c r="N19" s="2"/>
      <x:c r="O19" s="2"/>
    </x:row>
    <x:row r="20" ht="20" customHeight="1">
      <x:c r="A20" s="2"/>
      <x:c r="B20" s="2"/>
      <x:c r="C20" s="26" t="n">
        <x:v>5</x:v>
      </x:c>
      <x:c r="D20" s="28" t="n">
        <x:v>0.000159</x:v>
      </x:c>
      <x:c r="E20" s="28" t="n">
        <x:v>0.000133</x:v>
      </x:c>
      <x:c r="F20" s="2"/>
      <x:c r="G20" s="26" t="n">
        <x:v>5</x:v>
      </x:c>
      <x:c r="H20" s="30" t="n">
        <x:v>0.050415999999999996</x:v>
      </x:c>
      <x:c r="I20" s="49" t="n">
        <x:f>('Curve'!H11-H20)*10000</x:f>
        <x:v>0.004712919192476073</x:v>
      </x:c>
      <x:c r="J20" s="2"/>
      <x:c r="K20" s="2"/>
      <x:c r="L20" s="2"/>
      <x:c r="M20" s="2"/>
      <x:c r="N20" s="2"/>
      <x:c r="O20" s="2"/>
    </x:row>
    <x:row r="21" ht="20" customHeight="1">
      <x:c r="A21" s="2"/>
      <x:c r="B21" s="2"/>
      <x:c r="C21" s="26" t="n">
        <x:v>6</x:v>
      </x:c>
      <x:c r="D21" s="28" t="n">
        <x:v>0.000137</x:v>
      </x:c>
      <x:c r="E21" s="28" t="n">
        <x:v>0.000115</x:v>
      </x:c>
      <x:c r="F21" s="2"/>
      <x:c r="G21" s="26" t="n">
        <x:v>6</x:v>
      </x:c>
      <x:c r="H21" s="30" t="n">
        <x:v>0.050746</x:v>
      </x:c>
      <x:c r="I21" s="49" t="n">
        <x:f>('Curve'!H12-H21)*10000</x:f>
        <x:v>0.0035640964848870915</x:v>
      </x:c>
      <x:c r="J21" s="2"/>
      <x:c r="K21" s="2"/>
      <x:c r="L21" s="2"/>
      <x:c r="M21" s="2"/>
      <x:c r="N21" s="2"/>
      <x:c r="O21" s="2"/>
    </x:row>
    <x:row r="22" ht="20" customHeight="1">
      <x:c r="A22" s="2"/>
      <x:c r="B22" s="2"/>
      <x:c r="C22" s="26" t="n">
        <x:v>7</x:v>
      </x:c>
      <x:c r="D22" s="28" t="n">
        <x:v>0.000125</x:v>
      </x:c>
      <x:c r="E22" s="28" t="n">
        <x:v>0.000105</x:v>
      </x:c>
      <x:c r="F22" s="2"/>
      <x:c r="G22" s="26" t="n">
        <x:v>7</x:v>
      </x:c>
      <x:c r="H22" s="30" t="n">
        <x:v>0.051156</x:v>
      </x:c>
      <x:c r="I22" s="49" t="n">
        <x:f>('Curve'!H13-H22)*10000</x:f>
        <x:v>-0.0011455677187410807</x:v>
      </x:c>
      <x:c r="J22" s="2"/>
      <x:c r="K22" s="2"/>
      <x:c r="L22" s="2"/>
      <x:c r="M22" s="2"/>
      <x:c r="N22" s="2"/>
      <x:c r="O22" s="2"/>
    </x:row>
    <x:row r="23" ht="20" customHeight="1">
      <x:c r="A23" s="2"/>
      <x:c r="B23" s="2"/>
      <x:c r="C23" s="26" t="n">
        <x:v>8</x:v>
      </x:c>
      <x:c r="D23" s="28" t="n">
        <x:v>0.00012</x:v>
      </x:c>
      <x:c r="E23" s="28" t="n">
        <x:v>0.0001</x:v>
      </x:c>
      <x:c r="F23" s="2"/>
      <x:c r="G23" s="26" t="n">
        <x:v>8</x:v>
      </x:c>
      <x:c r="H23" s="30" t="n">
        <x:v>0.051654</x:v>
      </x:c>
      <x:c r="I23" s="49" t="n">
        <x:f>('Curve'!H14-H23)*10000</x:f>
        <x:v>0.0013316541677688143</x:v>
      </x:c>
      <x:c r="J23" s="2"/>
      <x:c r="K23" s="2"/>
      <x:c r="L23" s="2"/>
      <x:c r="M23" s="2"/>
      <x:c r="N23" s="2"/>
      <x:c r="O23" s="2"/>
    </x:row>
    <x:row r="24" ht="20" customHeight="1">
      <x:c r="A24" s="2"/>
      <x:c r="B24" s="2"/>
      <x:c r="C24" s="26" t="n">
        <x:v>9</x:v>
      </x:c>
      <x:c r="D24" s="28" t="n">
        <x:v>0.00012</x:v>
      </x:c>
      <x:c r="E24" s="28" t="n">
        <x:v>0.000098</x:v>
      </x:c>
      <x:c r="F24" s="2"/>
      <x:c r="G24" s="26" t="n">
        <x:v>9</x:v>
      </x:c>
      <x:c r="H24" s="30" t="n">
        <x:v>0.052223</x:v>
      </x:c>
      <x:c r="I24" s="49" t="n">
        <x:f>('Curve'!H15-H24)*10000</x:f>
        <x:v>0.0001420723804573809</x:v>
      </x:c>
      <x:c r="J24" s="2"/>
      <x:c r="K24" s="2"/>
      <x:c r="L24" s="2"/>
      <x:c r="M24" s="2"/>
      <x:c r="N24" s="2"/>
      <x:c r="O24" s="2"/>
    </x:row>
    <x:row r="25" ht="20" customHeight="1">
      <x:c r="A25" s="2"/>
      <x:c r="B25" s="2"/>
      <x:c r="C25" s="26" t="n">
        <x:v>10</x:v>
      </x:c>
      <x:c r="D25" s="28" t="n">
        <x:v>0.000125</x:v>
      </x:c>
      <x:c r="E25" s="28" t="n">
        <x:v>0.000101</x:v>
      </x:c>
      <x:c r="F25" s="2"/>
      <x:c r="G25" s="26" t="n">
        <x:v>10</x:v>
      </x:c>
      <x:c r="H25" s="30" t="n">
        <x:v>0.052836</x:v>
      </x:c>
      <x:c r="I25" s="49" t="n">
        <x:f>('Curve'!H16-H25)*10000</x:f>
        <x:v>-0.0037624408502634488</x:v>
      </x:c>
      <x:c r="J25" s="2"/>
      <x:c r="K25" s="2"/>
      <x:c r="L25" s="2"/>
      <x:c r="M25" s="2"/>
      <x:c r="N25" s="2"/>
      <x:c r="O25" s="2"/>
    </x:row>
    <x:row r="26" ht="20" customHeight="1">
      <x:c r="A26" s="2"/>
      <x:c r="B26" s="2"/>
      <x:c r="C26" s="26" t="n">
        <x:v>11</x:v>
      </x:c>
      <x:c r="D26" s="28" t="n">
        <x:v>0.00014</x:v>
      </x:c>
      <x:c r="E26" s="28" t="n">
        <x:v>0.000111</x:v>
      </x:c>
      <x:c r="F26" s="2"/>
      <x:c r="G26" s="26" t="n">
        <x:v>11</x:v>
      </x:c>
      <x:c r="H26" s="30" t="n">
        <x:v>0.053465</x:v>
      </x:c>
      <x:c r="I26" s="49" t="n">
        <x:f>('Curve'!H17-H26)*10000</x:f>
        <x:v>-0.0004610202010424391</x:v>
      </x:c>
      <x:c r="J26" s="2"/>
      <x:c r="K26" s="2"/>
      <x:c r="L26" s="2"/>
      <x:c r="M26" s="2"/>
      <x:c r="N26" s="2"/>
      <x:c r="O26" s="2"/>
    </x:row>
    <x:row r="27" ht="20" customHeight="1">
      <x:c r="A27" s="2"/>
      <x:c r="B27" s="2"/>
      <x:c r="C27" s="26" t="n">
        <x:v>12</x:v>
      </x:c>
      <x:c r="D27" s="28" t="n">
        <x:v>0.000173</x:v>
      </x:c>
      <x:c r="E27" s="28" t="n">
        <x:v>0.000126</x:v>
      </x:c>
      <x:c r="F27" s="2"/>
      <x:c r="G27" s="26" t="n">
        <x:v>12</x:v>
      </x:c>
      <x:c r="H27" s="30" t="n">
        <x:v>0.054088000000000004</x:v>
      </x:c>
      <x:c r="I27" s="49" t="n">
        <x:f>('Curve'!H18-H27)*10000</x:f>
        <x:v>-0.0043058434607418095</x:v>
      </x:c>
      <x:c r="J27" s="2"/>
      <x:c r="K27" s="2"/>
      <x:c r="L27" s="2"/>
      <x:c r="M27" s="2"/>
      <x:c r="N27" s="2"/>
      <x:c r="O27" s="2"/>
    </x:row>
    <x:row r="28" ht="20" customHeight="1">
      <x:c r="A28" s="2"/>
      <x:c r="B28" s="2"/>
      <x:c r="C28" s="26" t="n">
        <x:v>13</x:v>
      </x:c>
      <x:c r="D28" s="28" t="n">
        <x:v>0.000233</x:v>
      </x:c>
      <x:c r="E28" s="28" t="n">
        <x:v>0.000152</x:v>
      </x:c>
      <x:c r="F28" s="2"/>
      <x:c r="G28" s="26" t="n">
        <x:v>13</x:v>
      </x:c>
      <x:c r="H28" s="30" t="n">
        <x:v>0.054685</x:v>
      </x:c>
      <x:c r="I28" s="49" t="n">
        <x:f>('Curve'!H19-H28)*10000</x:f>
        <x:v>-0.002553747884201374</x:v>
      </x:c>
      <x:c r="J28" s="2"/>
      <x:c r="K28" s="2"/>
      <x:c r="L28" s="2"/>
      <x:c r="M28" s="2"/>
      <x:c r="N28" s="2"/>
      <x:c r="O28" s="2"/>
    </x:row>
    <x:row r="29" ht="20" customHeight="1">
      <x:c r="A29" s="2"/>
      <x:c r="B29" s="2"/>
      <x:c r="C29" s="26" t="n">
        <x:v>14</x:v>
      </x:c>
      <x:c r="D29" s="28" t="n">
        <x:v>0.000327</x:v>
      </x:c>
      <x:c r="E29" s="28" t="n">
        <x:v>0.000188</x:v>
      </x:c>
      <x:c r="F29" s="2"/>
      <x:c r="G29" s="26" t="n">
        <x:v>14</x:v>
      </x:c>
      <x:c r="H29" s="30" t="n">
        <x:v>0.055242000000000006</x:v>
      </x:c>
      <x:c r="I29" s="49" t="n">
        <x:f>('Curve'!H20-H29)*10000</x:f>
        <x:v>0.004016962191419338</x:v>
      </x:c>
      <x:c r="J29" s="2"/>
      <x:c r="K29" s="2"/>
      <x:c r="L29" s="2"/>
      <x:c r="M29" s="2"/>
      <x:c r="N29" s="2"/>
      <x:c r="O29" s="2"/>
    </x:row>
    <x:row r="30" ht="20" customHeight="1">
      <x:c r="A30" s="2"/>
      <x:c r="B30" s="2"/>
      <x:c r="C30" s="26" t="n">
        <x:v>15</x:v>
      </x:c>
      <x:c r="D30" s="28" t="n">
        <x:v>0.000463</x:v>
      </x:c>
      <x:c r="E30" s="28" t="n">
        <x:v>0.000229</x:v>
      </x:c>
      <x:c r="F30" s="2"/>
      <x:c r="G30" s="26" t="n">
        <x:v>15</x:v>
      </x:c>
      <x:c r="H30" s="30" t="n">
        <x:v>0.055751</x:v>
      </x:c>
      <x:c r="I30" s="49" t="n">
        <x:f>('Curve'!H21-H30)*10000</x:f>
        <x:v>-0.0045000848625242895</x:v>
      </x:c>
      <x:c r="J30" s="2"/>
      <x:c r="K30" s="2"/>
      <x:c r="L30" s="2"/>
      <x:c r="M30" s="2"/>
      <x:c r="N30" s="2"/>
      <x:c r="O30" s="2"/>
    </x:row>
    <x:row r="31" ht="20" customHeight="1">
      <x:c r="A31" s="2"/>
      <x:c r="B31" s="2"/>
      <x:c r="C31" s="26" t="n">
        <x:v>16</x:v>
      </x:c>
      <x:c r="D31" s="28" t="n">
        <x:v>0.000634</x:v>
      </x:c>
      <x:c r="E31" s="28" t="n">
        <x:v>0.000273</x:v>
      </x:c>
      <x:c r="F31" s="2"/>
      <x:c r="G31" s="26" t="n">
        <x:v>16</x:v>
      </x:c>
      <x:c r="H31" s="30" t="n">
        <x:v>0.056203</x:v>
      </x:c>
      <x:c r="I31" s="49" t="n">
        <x:f>('Curve'!H22-H31)*10000</x:f>
        <x:v>-0.004229495822183349</x:v>
      </x:c>
      <x:c r="J31" s="2"/>
      <x:c r="K31" s="2"/>
      <x:c r="L31" s="2"/>
      <x:c r="M31" s="2"/>
      <x:c r="N31" s="2"/>
      <x:c r="O31" s="2"/>
    </x:row>
    <x:row r="32" ht="20" customHeight="1">
      <x:c r="A32" s="2"/>
      <x:c r="B32" s="2"/>
      <x:c r="C32" s="26" t="n">
        <x:v>17</x:v>
      </x:c>
      <x:c r="D32" s="28" t="n">
        <x:v>0.000819</x:v>
      </x:c>
      <x:c r="E32" s="28" t="n">
        <x:v>0.000323</x:v>
      </x:c>
      <x:c r="F32" s="2"/>
      <x:c r="G32" s="26" t="n">
        <x:v>17</x:v>
      </x:c>
      <x:c r="H32" s="30" t="n">
        <x:v>0.056595000000000006</x:v>
      </x:c>
      <x:c r="I32" s="49" t="n">
        <x:f>('Curve'!H23-H32)*10000</x:f>
        <x:v>-0.004445444680006849</x:v>
      </x:c>
      <x:c r="J32" s="2"/>
      <x:c r="K32" s="2"/>
      <x:c r="L32" s="2"/>
      <x:c r="M32" s="2"/>
      <x:c r="N32" s="2"/>
      <x:c r="O32" s="2"/>
    </x:row>
    <x:row r="33" ht="20" customHeight="1">
      <x:c r="A33" s="2"/>
      <x:c r="B33" s="2"/>
      <x:c r="C33" s="26" t="n">
        <x:v>18</x:v>
      </x:c>
      <x:c r="D33" s="28" t="n">
        <x:v>0.000999</x:v>
      </x:c>
      <x:c r="E33" s="28" t="n">
        <x:v>0.000372</x:v>
      </x:c>
      <x:c r="F33" s="2"/>
      <x:c r="G33" s="26" t="n">
        <x:v>18</x:v>
      </x:c>
      <x:c r="H33" s="30" t="n">
        <x:v>0.056924999999999996</x:v>
      </x:c>
      <x:c r="I33" s="49" t="n">
        <x:f>('Curve'!H24-H33)*10000</x:f>
        <x:v>-0.003670419980519868</x:v>
      </x:c>
      <x:c r="J33" s="2"/>
      <x:c r="K33" s="2"/>
      <x:c r="L33" s="2"/>
      <x:c r="M33" s="2"/>
      <x:c r="N33" s="2"/>
      <x:c r="O33" s="2"/>
    </x:row>
    <x:row r="34" ht="20" customHeight="1">
      <x:c r="A34" s="2"/>
      <x:c r="B34" s="2"/>
      <x:c r="C34" s="26" t="n">
        <x:v>19</x:v>
      </x:c>
      <x:c r="D34" s="28" t="n">
        <x:v>0.001138</x:v>
      </x:c>
      <x:c r="E34" s="28" t="n">
        <x:v>0.00041</x:v>
      </x:c>
      <x:c r="F34" s="2"/>
      <x:c r="G34" s="26" t="n">
        <x:v>19</x:v>
      </x:c>
      <x:c r="H34" s="30" t="n">
        <x:v>0.057192999999999994</x:v>
      </x:c>
      <x:c r="I34" s="49" t="n">
        <x:f>('Curve'!H25-H34)*10000</x:f>
        <x:v>-0.004750277617926457</x:v>
      </x:c>
      <x:c r="J34" s="2"/>
      <x:c r="K34" s="2"/>
      <x:c r="L34" s="2"/>
      <x:c r="M34" s="2"/>
      <x:c r="N34" s="2"/>
      <x:c r="O34" s="2"/>
    </x:row>
    <x:row r="35" ht="20" customHeight="1">
      <x:c r="A35" s="2"/>
      <x:c r="B35" s="2"/>
      <x:c r="C35" s="26" t="n">
        <x:v>20</x:v>
      </x:c>
      <x:c r="D35" s="28" t="n">
        <x:v>0.001235</x:v>
      </x:c>
      <x:c r="E35" s="28" t="n">
        <x:v>0.000441</x:v>
      </x:c>
      <x:c r="F35" s="2"/>
      <x:c r="G35" s="26" t="n">
        <x:v>20</x:v>
      </x:c>
      <x:c r="H35" s="30" t="n">
        <x:v>0.057399</x:v>
      </x:c>
      <x:c r="I35" s="49" t="n">
        <x:f>('Curve'!H26-H35)*10000</x:f>
        <x:v>0.0010615680745562628</x:v>
      </x:c>
      <x:c r="J35" s="2"/>
      <x:c r="K35" s="2"/>
      <x:c r="L35" s="2"/>
      <x:c r="M35" s="2"/>
      <x:c r="N35" s="2"/>
      <x:c r="O35" s="2"/>
    </x:row>
    <x:row r="36" ht="20" customHeight="1">
      <x:c r="A36" s="2"/>
      <x:c r="B36" s="2"/>
      <x:c r="C36" s="26" t="n">
        <x:v>21</x:v>
      </x:c>
      <x:c r="D36" s="28" t="n">
        <x:v>0.001315</x:v>
      </x:c>
      <x:c r="E36" s="28" t="n">
        <x:v>0.000476</x:v>
      </x:c>
      <x:c r="F36" s="2"/>
      <x:c r="G36" s="26" t="n">
        <x:v>21</x:v>
      </x:c>
      <x:c r="H36" s="30" t="n">
        <x:v>0.057546</x:v>
      </x:c>
      <x:c r="I36" s="49" t="n">
        <x:f>('Curve'!H27-H36)*10000</x:f>
        <x:v>0.0008878394416877988</x:v>
      </x:c>
      <x:c r="J36" s="2"/>
      <x:c r="K36" s="2"/>
      <x:c r="L36" s="2"/>
      <x:c r="M36" s="2"/>
      <x:c r="N36" s="2"/>
      <x:c r="O36" s="2"/>
    </x:row>
    <x:row r="37" ht="20" customHeight="1">
      <x:c r="A37" s="2"/>
      <x:c r="B37" s="2"/>
      <x:c r="C37" s="26" t="n">
        <x:v>22</x:v>
      </x:c>
      <x:c r="D37" s="28" t="n">
        <x:v>0.001378</x:v>
      </x:c>
      <x:c r="E37" s="28" t="n">
        <x:v>0.000513</x:v>
      </x:c>
      <x:c r="F37" s="2"/>
      <x:c r="G37" s="26" t="n">
        <x:v>22</x:v>
      </x:c>
      <x:c r="H37" s="30" t="n">
        <x:v>0.057636</x:v>
      </x:c>
      <x:c r="I37" s="49" t="n">
        <x:f>('Curve'!H28-H37)*10000</x:f>
        <x:v>-0.0022679450348284114</x:v>
      </x:c>
      <x:c r="J37" s="2"/>
      <x:c r="K37" s="2"/>
      <x:c r="L37" s="2"/>
      <x:c r="M37" s="2"/>
      <x:c r="N37" s="2"/>
      <x:c r="O37" s="2"/>
    </x:row>
    <x:row r="38" ht="20" customHeight="1">
      <x:c r="A38" s="2"/>
      <x:c r="B38" s="2"/>
      <x:c r="C38" s="26" t="n">
        <x:v>23</x:v>
      </x:c>
      <x:c r="D38" s="28" t="n">
        <x:v>0.001439</x:v>
      </x:c>
      <x:c r="E38" s="28" t="n">
        <x:v>0.000546</x:v>
      </x:c>
      <x:c r="F38" s="2"/>
      <x:c r="G38" s="26" t="n">
        <x:v>23</x:v>
      </x:c>
      <x:c r="H38" s="30" t="n">
        <x:v>0.057671</x:v>
      </x:c>
      <x:c r="I38" s="49" t="n">
        <x:f>('Curve'!H29-H38)*10000</x:f>
        <x:v>-0.0014363586356425095</x:v>
      </x:c>
      <x:c r="J38" s="2"/>
      <x:c r="K38" s="2"/>
      <x:c r="L38" s="2"/>
      <x:c r="M38" s="2"/>
      <x:c r="N38" s="2"/>
      <x:c r="O38" s="2"/>
    </x:row>
    <x:row r="39" ht="20" customHeight="1">
      <x:c r="A39" s="2"/>
      <x:c r="B39" s="2"/>
      <x:c r="C39" s="26" t="n">
        <x:v>24</x:v>
      </x:c>
      <x:c r="D39" s="28" t="n">
        <x:v>0.001509</x:v>
      </x:c>
      <x:c r="E39" s="28" t="n">
        <x:v>0.000582</x:v>
      </x:c>
      <x:c r="F39" s="2"/>
      <x:c r="G39" s="26" t="n">
        <x:v>24</x:v>
      </x:c>
      <x:c r="H39" s="30" t="n">
        <x:v>0.057654</x:v>
      </x:c>
      <x:c r="I39" s="49" t="n">
        <x:f>('Curve'!H30-H39)*10000</x:f>
        <x:v>0.0028613199277299772</x:v>
      </x:c>
      <x:c r="J39" s="2"/>
      <x:c r="K39" s="2"/>
      <x:c r="L39" s="2"/>
      <x:c r="M39" s="2"/>
      <x:c r="N39" s="2"/>
      <x:c r="O39" s="2"/>
    </x:row>
    <x:row r="40" ht="20" customHeight="1">
      <x:c r="A40" s="2"/>
      <x:c r="B40" s="2"/>
      <x:c r="C40" s="26" t="n">
        <x:v>25</x:v>
      </x:c>
      <x:c r="D40" s="28" t="n">
        <x:v>0.001595</x:v>
      </x:c>
      <x:c r="E40" s="28" t="n">
        <x:v>0.000609</x:v>
      </x:c>
      <x:c r="F40" s="2"/>
      <x:c r="G40" s="26" t="n">
        <x:v>25</x:v>
      </x:c>
      <x:c r="H40" s="30" t="n">
        <x:v>0.057588999999999994</x:v>
      </x:c>
      <x:c r="I40" s="49" t="n">
        <x:f>('Curve'!H31-H40)*10000</x:f>
        <x:v>0.001513801397429182</x:v>
      </x:c>
      <x:c r="J40" s="2"/>
      <x:c r="K40" s="2"/>
      <x:c r="L40" s="2"/>
      <x:c r="M40" s="2"/>
      <x:c r="N40" s="2"/>
      <x:c r="O40" s="2"/>
    </x:row>
    <x:row r="41" ht="20" customHeight="1">
      <x:c r="A41" s="2"/>
      <x:c r="B41" s="2"/>
      <x:c r="C41" s="26" t="n">
        <x:v>26</x:v>
      </x:c>
      <x:c r="D41" s="28" t="n">
        <x:v>0.001685</x:v>
      </x:c>
      <x:c r="E41" s="28" t="n">
        <x:v>0.000641</x:v>
      </x:c>
      <x:c r="F41" s="2"/>
      <x:c r="G41" s="26" t="n">
        <x:v>26</x:v>
      </x:c>
      <x:c r="H41" s="30" t="n">
        <x:v>0.057478999999999995</x:v>
      </x:c>
      <x:c r="I41" s="49" t="n">
        <x:f>('Curve'!H32-H41)*10000</x:f>
        <x:v>-0.004003172362487817</x:v>
      </x:c>
      <x:c r="J41" s="2"/>
      <x:c r="K41" s="2"/>
      <x:c r="L41" s="2"/>
      <x:c r="M41" s="2"/>
      <x:c r="N41" s="2"/>
      <x:c r="O41" s="2"/>
    </x:row>
    <x:row r="42" ht="20" customHeight="1">
      <x:c r="A42" s="2"/>
      <x:c r="B42" s="2"/>
      <x:c r="C42" s="26" t="n">
        <x:v>27</x:v>
      </x:c>
      <x:c r="D42" s="28" t="n">
        <x:v>0.001783</x:v>
      </x:c>
      <x:c r="E42" s="28" t="n">
        <x:v>0.000683</x:v>
      </x:c>
      <x:c r="F42" s="2"/>
      <x:c r="G42" s="26" t="n">
        <x:v>27</x:v>
      </x:c>
      <x:c r="H42" s="30" t="n">
        <x:v>0.057325999999999995</x:v>
      </x:c>
      <x:c r="I42" s="49" t="n">
        <x:f>('Curve'!H33-H42)*10000</x:f>
        <x:v>-0.002237162355436806</x:v>
      </x:c>
      <x:c r="J42" s="2"/>
      <x:c r="K42" s="2"/>
      <x:c r="L42" s="2"/>
      <x:c r="M42" s="2"/>
      <x:c r="N42" s="2"/>
      <x:c r="O42" s="2"/>
    </x:row>
    <x:row r="43" ht="20" customHeight="1">
      <x:c r="A43" s="2"/>
      <x:c r="B43" s="2"/>
      <x:c r="C43" s="26" t="n">
        <x:v>28</x:v>
      </x:c>
      <x:c r="D43" s="28" t="n">
        <x:v>0.001876</x:v>
      </x:c>
      <x:c r="E43" s="28" t="n">
        <x:v>0.00074</x:v>
      </x:c>
      <x:c r="F43" s="2"/>
      <x:c r="G43" s="26" t="n">
        <x:v>28</x:v>
      </x:c>
      <x:c r="H43" s="30" t="n">
        <x:v>0.057134</x:v>
      </x:c>
      <x:c r="I43" s="49" t="n">
        <x:f>('Curve'!H34-H43)*10000</x:f>
        <x:v>-0.0022063152337048475</x:v>
      </x:c>
      <x:c r="J43" s="2"/>
      <x:c r="K43" s="2"/>
      <x:c r="L43" s="2"/>
      <x:c r="M43" s="2"/>
      <x:c r="N43" s="2"/>
      <x:c r="O43" s="2"/>
    </x:row>
    <x:row r="44" ht="20" customHeight="1">
      <x:c r="A44" s="2"/>
      <x:c r="B44" s="2"/>
      <x:c r="C44" s="26" t="n">
        <x:v>29</x:v>
      </x:c>
      <x:c r="D44" s="28" t="n">
        <x:v>0.00197</x:v>
      </x:c>
      <x:c r="E44" s="28" t="n">
        <x:v>0.000808</x:v>
      </x:c>
      <x:c r="F44" s="2"/>
      <x:c r="G44" s="26" t="n">
        <x:v>29</x:v>
      </x:c>
      <x:c r="H44" s="30" t="n">
        <x:v>0.056906</x:v>
      </x:c>
      <x:c r="I44" s="49" t="n">
        <x:f>('Curve'!H35-H44)*10000</x:f>
        <x:v>-0.0037218876246941646</x:v>
      </x:c>
      <x:c r="J44" s="2"/>
      <x:c r="K44" s="2"/>
      <x:c r="L44" s="2"/>
      <x:c r="M44" s="2"/>
      <x:c r="N44" s="2"/>
      <x:c r="O44" s="2"/>
    </x:row>
    <x:row r="45" ht="20" customHeight="1">
      <x:c r="A45" s="2"/>
      <x:c r="B45" s="2"/>
      <x:c r="C45" s="26" t="n">
        <x:v>30</x:v>
      </x:c>
      <x:c r="D45" s="28" t="n">
        <x:v>0.002085</x:v>
      </x:c>
      <x:c r="E45" s="28" t="n">
        <x:v>0.000878</x:v>
      </x:c>
      <x:c r="F45" s="2"/>
      <x:c r="G45" s="26" t="n">
        <x:v>30</x:v>
      </x:c>
      <x:c r="H45" s="30" t="n">
        <x:v>0.056644</x:v>
      </x:c>
      <x:c r="I45" s="49" t="n">
        <x:f>('Curve'!H36-H45)*10000</x:f>
        <x:v>0.00238452758531682</x:v>
      </x:c>
      <x:c r="J45" s="2"/>
      <x:c r="K45" s="2"/>
      <x:c r="L45" s="2"/>
      <x:c r="M45" s="2"/>
      <x:c r="N45" s="2"/>
      <x:c r="O45" s="2"/>
    </x:row>
    <x:row r="46" ht="20" customHeight="1">
      <x:c r="A46" s="2"/>
      <x:c r="B46" s="2"/>
      <x:c r="C46" s="26" t="n">
        <x:v>31</x:v>
      </x:c>
      <x:c r="D46" s="28" t="n">
        <x:v>0.002202</x:v>
      </x:c>
      <x:c r="E46" s="28" t="n">
        <x:v>0.000947</x:v>
      </x:c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 ht="20" customHeight="1">
      <x:c r="A47" s="2"/>
      <x:c r="B47" s="2"/>
      <x:c r="C47" s="26" t="n">
        <x:v>32</x:v>
      </x:c>
      <x:c r="D47" s="28" t="n">
        <x:v>0.002308</x:v>
      </x:c>
      <x:c r="E47" s="28" t="n">
        <x:v>0.001018</x:v>
      </x:c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 ht="34" customHeight="1">
      <x:c r="A48" s="2"/>
      <x:c r="B48" s="2"/>
      <x:c r="C48" s="26" t="n">
        <x:v>33</x:v>
      </x:c>
      <x:c r="D48" s="28" t="n">
        <x:v>0.002407</x:v>
      </x:c>
      <x:c r="E48" s="28" t="n">
        <x:v>0.001089</x:v>
      </x:c>
      <x:c r="F48" s="2"/>
      <x:c r="G48" s="17" t="str">
        <x:v>Cohort</x:v>
      </x:c>
      <x:c r="H48" s="18" t="str">
        <x:v>Sex</x:v>
      </x:c>
      <x:c r="I48" s="18" t="str">
        <x:v>Initial age</x:v>
      </x:c>
      <x:c r="J48" s="19" t="str">
        <x:v>Initial lives</x:v>
      </x:c>
      <x:c r="K48" s="2"/>
      <x:c r="L48" s="2"/>
      <x:c r="M48" s="2"/>
      <x:c r="N48" s="2"/>
      <x:c r="O48" s="2"/>
    </x:row>
    <x:row r="49" ht="20" customHeight="1">
      <x:c r="A49" s="2"/>
      <x:c r="B49" s="2"/>
      <x:c r="C49" s="26" t="n">
        <x:v>34</x:v>
      </x:c>
      <x:c r="D49" s="28" t="n">
        <x:v>0.00249</x:v>
      </x:c>
      <x:c r="E49" s="28" t="n">
        <x:v>0.001154</x:v>
      </x:c>
      <x:c r="F49" s="2"/>
      <x:c r="G49" s="26" t="str">
        <x:v>male age 60</x:v>
      </x:c>
      <x:c r="H49" s="26" t="str">
        <x:v>male</x:v>
      </x:c>
      <x:c r="I49" s="26" t="n">
        <x:v>60</x:v>
      </x:c>
      <x:c r="J49" s="26" t="n">
        <x:v>250</x:v>
      </x:c>
      <x:c r="K49" s="2"/>
      <x:c r="L49" s="2"/>
      <x:c r="M49" s="2"/>
      <x:c r="N49" s="2"/>
      <x:c r="O49" s="2"/>
    </x:row>
    <x:row r="50" ht="20" customHeight="1">
      <x:c r="A50" s="2"/>
      <x:c r="B50" s="2"/>
      <x:c r="C50" s="26" t="n">
        <x:v>35</x:v>
      </x:c>
      <x:c r="D50" s="28" t="n">
        <x:v>0.002577</x:v>
      </x:c>
      <x:c r="E50" s="28" t="n">
        <x:v>0.001209</x:v>
      </x:c>
      <x:c r="F50" s="2"/>
      <x:c r="G50" s="26" t="str">
        <x:v>female age 65</x:v>
      </x:c>
      <x:c r="H50" s="26" t="str">
        <x:v>female</x:v>
      </x:c>
      <x:c r="I50" s="26" t="n">
        <x:v>65</x:v>
      </x:c>
      <x:c r="J50" s="26" t="n">
        <x:v>250</x:v>
      </x:c>
      <x:c r="K50" s="2"/>
      <x:c r="L50" s="2"/>
      <x:c r="M50" s="2"/>
      <x:c r="N50" s="2"/>
      <x:c r="O50" s="2"/>
    </x:row>
    <x:row r="51" ht="20" customHeight="1">
      <x:c r="A51" s="2"/>
      <x:c r="B51" s="2"/>
      <x:c r="C51" s="26" t="n">
        <x:v>36</x:v>
      </x:c>
      <x:c r="D51" s="28" t="n">
        <x:v>0.002665</x:v>
      </x:c>
      <x:c r="E51" s="28" t="n">
        <x:v>0.001263</x:v>
      </x:c>
      <x:c r="F51" s="2"/>
      <x:c r="G51" s="26" t="str">
        <x:v>male age 70</x:v>
      </x:c>
      <x:c r="H51" s="26" t="str">
        <x:v>male</x:v>
      </x:c>
      <x:c r="I51" s="26" t="n">
        <x:v>70</x:v>
      </x:c>
      <x:c r="J51" s="26" t="n">
        <x:v>250</x:v>
      </x:c>
      <x:c r="K51" s="2"/>
      <x:c r="L51" s="2"/>
      <x:c r="M51" s="2"/>
      <x:c r="N51" s="2"/>
      <x:c r="O51" s="2"/>
    </x:row>
    <x:row r="52" ht="20" customHeight="1">
      <x:c r="A52" s="2"/>
      <x:c r="B52" s="2"/>
      <x:c r="C52" s="26" t="n">
        <x:v>37</x:v>
      </x:c>
      <x:c r="D52" s="28" t="n">
        <x:v>0.002764</x:v>
      </x:c>
      <x:c r="E52" s="28" t="n">
        <x:v>0.001347</x:v>
      </x:c>
      <x:c r="F52" s="2"/>
      <x:c r="G52" s="26" t="str">
        <x:v>female age 75</x:v>
      </x:c>
      <x:c r="H52" s="26" t="str">
        <x:v>female</x:v>
      </x:c>
      <x:c r="I52" s="26" t="n">
        <x:v>75</x:v>
      </x:c>
      <x:c r="J52" s="26" t="n">
        <x:v>250</x:v>
      </x:c>
      <x:c r="K52" s="2"/>
      <x:c r="L52" s="2"/>
      <x:c r="M52" s="2"/>
      <x:c r="N52" s="2"/>
      <x:c r="O52" s="2"/>
    </x:row>
    <x:row r="53" ht="20" customHeight="1">
      <x:c r="A53" s="2"/>
      <x:c r="B53" s="2"/>
      <x:c r="C53" s="26" t="n">
        <x:v>38</x:v>
      </x:c>
      <x:c r="D53" s="28" t="n">
        <x:v>0.002864</x:v>
      </x:c>
      <x:c r="E53" s="28" t="n">
        <x:v>0.001438</x:v>
      </x:c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 ht="20" customHeight="1">
      <x:c r="A54" s="2"/>
      <x:c r="B54" s="2"/>
      <x:c r="C54" s="26" t="n">
        <x:v>39</x:v>
      </x:c>
      <x:c r="D54" s="28" t="n">
        <x:v>0.002987</x:v>
      </x:c>
      <x:c r="E54" s="28" t="n">
        <x:v>0.001533</x:v>
      </x:c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 ht="20" customHeight="1">
      <x:c r="A55" s="2"/>
      <x:c r="B55" s="2"/>
      <x:c r="C55" s="26" t="n">
        <x:v>40</x:v>
      </x:c>
      <x:c r="D55" s="28" t="n">
        <x:v>0.003115</x:v>
      </x:c>
      <x:c r="E55" s="28" t="n">
        <x:v>0.001643</x:v>
      </x:c>
      <x:c r="F55" s="2"/>
      <x:c r="G55" s="23" t="str">
        <x:v>GSW parameters are percent; zero rates in this workbook are decimal and continuously compounded.</x:v>
      </x:c>
      <x:c r="H55" s="2"/>
      <x:c r="I55" s="2"/>
      <x:c r="J55" s="2"/>
      <x:c r="K55" s="2"/>
      <x:c r="L55" s="2"/>
      <x:c r="M55" s="2"/>
      <x:c r="N55" s="2"/>
      <x:c r="O55" s="2"/>
    </x:row>
    <x:row r="56" ht="20" customHeight="1">
      <x:c r="A56" s="2"/>
      <x:c r="B56" s="2"/>
      <x:c r="C56" s="26" t="n">
        <x:v>41</x:v>
      </x:c>
      <x:c r="D56" s="28" t="n">
        <x:v>0.003253</x:v>
      </x:c>
      <x:c r="E56" s="28" t="n">
        <x:v>0.001742</x:v>
      </x:c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 ht="20" customHeight="1">
      <x:c r="A57" s="2"/>
      <x:c r="B57" s="2"/>
      <x:c r="C57" s="26" t="n">
        <x:v>42</x:v>
      </x:c>
      <x:c r="D57" s="28" t="n">
        <x:v>0.003419</x:v>
      </x:c>
      <x:c r="E57" s="28" t="n">
        <x:v>0.001845</x:v>
      </x:c>
      <x:c r="F57" s="2"/>
      <x:c r="G57" s="2" t="str">
        <x:v>https://www.federalreserve.gov/data/yield-curve-tables/feds200628.csv</x:v>
      </x:c>
      <x:c r="H57" s="2"/>
      <x:c r="I57" s="2"/>
      <x:c r="J57" s="2"/>
      <x:c r="K57" s="2"/>
      <x:c r="L57" s="2"/>
      <x:c r="M57" s="2"/>
      <x:c r="N57" s="2"/>
      <x:c r="O57" s="2"/>
    </x:row>
    <x:row r="58" ht="20" customHeight="1">
      <x:c r="A58" s="2"/>
      <x:c r="B58" s="2"/>
      <x:c r="C58" s="26" t="n">
        <x:v>43</x:v>
      </x:c>
      <x:c r="D58" s="28" t="n">
        <x:v>0.0036</x:v>
      </x:c>
      <x:c r="E58" s="28" t="n">
        <x:v>0.001954</x:v>
      </x:c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 ht="20" customHeight="1">
      <x:c r="A59" s="2"/>
      <x:c r="B59" s="2"/>
      <x:c r="C59" s="26" t="n">
        <x:v>44</x:v>
      </x:c>
      <x:c r="D59" s="28" t="n">
        <x:v>0.003777</x:v>
      </x:c>
      <x:c r="E59" s="28" t="n">
        <x:v>0.002075</x:v>
      </x:c>
      <x:c r="F59" s="2"/>
      <x:c r="G59" s="23" t="str">
        <x:v>SSA 2023 period mortality, Social Security area. Not Indian annuitants or a cohort forecast.</x:v>
      </x:c>
      <x:c r="H59" s="2"/>
      <x:c r="I59" s="2"/>
      <x:c r="J59" s="2"/>
      <x:c r="K59" s="2"/>
      <x:c r="L59" s="2"/>
      <x:c r="M59" s="2"/>
      <x:c r="N59" s="2"/>
      <x:c r="O59" s="2"/>
    </x:row>
    <x:row r="60" ht="20" customHeight="1">
      <x:c r="A60" s="2"/>
      <x:c r="B60" s="2"/>
      <x:c r="C60" s="26" t="n">
        <x:v>45</x:v>
      </x:c>
      <x:c r="D60" s="28" t="n">
        <x:v>0.003931</x:v>
      </x:c>
      <x:c r="E60" s="28" t="n">
        <x:v>0.002187</x:v>
      </x:c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 ht="20" customHeight="1">
      <x:c r="A61" s="2"/>
      <x:c r="B61" s="2"/>
      <x:c r="C61" s="26" t="n">
        <x:v>46</x:v>
      </x:c>
      <x:c r="D61" s="28" t="n">
        <x:v>0.004073</x:v>
      </x:c>
      <x:c r="E61" s="28" t="n">
        <x:v>0.002306</x:v>
      </x:c>
      <x:c r="F61" s="2"/>
      <x:c r="G61" s="2" t="str">
        <x:v>https://www.ssa.gov/oact/STATS/table4c6.html</x:v>
      </x:c>
      <x:c r="H61" s="2"/>
      <x:c r="I61" s="2"/>
      <x:c r="J61" s="2"/>
      <x:c r="K61" s="2"/>
      <x:c r="L61" s="2"/>
      <x:c r="M61" s="2"/>
      <x:c r="N61" s="2"/>
      <x:c r="O61" s="2"/>
    </x:row>
    <x:row r="62" ht="20" customHeight="1">
      <x:c r="A62" s="2"/>
      <x:c r="B62" s="2"/>
      <x:c r="C62" s="26" t="n">
        <x:v>47</x:v>
      </x:c>
      <x:c r="D62" s="28" t="n">
        <x:v>0.004245</x:v>
      </x:c>
      <x:c r="E62" s="28" t="n">
        <x:v>0.002438</x:v>
      </x:c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 ht="20" customHeight="1">
      <x:c r="A63" s="2"/>
      <x:c r="B63" s="2"/>
      <x:c r="C63" s="26" t="n">
        <x:v>48</x:v>
      </x:c>
      <x:c r="D63" s="28" t="n">
        <x:v>0.004477</x:v>
      </x:c>
      <x:c r="E63" s="28" t="n">
        <x:v>0.002595</x:v>
      </x:c>
      <x:c r="F63" s="2"/>
      <x:c r="G63" s="23" t="str">
        <x:v>Faces and historical weights are imported from sealed evidence; Excel does not re-optimise them.</x:v>
      </x:c>
      <x:c r="H63" s="2"/>
      <x:c r="I63" s="2"/>
      <x:c r="J63" s="2"/>
      <x:c r="K63" s="2"/>
      <x:c r="L63" s="2"/>
      <x:c r="M63" s="2"/>
      <x:c r="N63" s="2"/>
      <x:c r="O63" s="2"/>
    </x:row>
    <x:row r="64" ht="20" customHeight="1">
      <x:c r="A64" s="2"/>
      <x:c r="B64" s="2"/>
      <x:c r="C64" s="26" t="n">
        <x:v>49</x:v>
      </x:c>
      <x:c r="D64" s="28" t="n">
        <x:v>0.004795</x:v>
      </x:c>
      <x:c r="E64" s="28" t="n">
        <x:v>0.002791</x:v>
      </x:c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 ht="20" customHeight="1">
      <x:c r="A65" s="2"/>
      <x:c r="B65" s="2"/>
      <x:c r="C65" s="26" t="n">
        <x:v>50</x:v>
      </x:c>
      <x:c r="D65" s="28" t="n">
        <x:v>0.005126</x:v>
      </x:c>
      <x:c r="E65" s="28" t="n">
        <x:v>0.00303</x:v>
      </x:c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 ht="20" customHeight="1">
      <x:c r="A66" s="2"/>
      <x:c r="B66" s="2"/>
      <x:c r="C66" s="26" t="n">
        <x:v>51</x:v>
      </x:c>
      <x:c r="D66" s="28" t="n">
        <x:v>0.005496</x:v>
      </x:c>
      <x:c r="E66" s="28" t="n">
        <x:v>0.003288</x:v>
      </x:c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 ht="20" customHeight="1">
      <x:c r="A67" s="2"/>
      <x:c r="B67" s="2"/>
      <x:c r="C67" s="26" t="n">
        <x:v>52</x:v>
      </x:c>
      <x:c r="D67" s="28" t="n">
        <x:v>0.005917</x:v>
      </x:c>
      <x:c r="E67" s="28" t="n">
        <x:v>0.003554</x:v>
      </x:c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 ht="20" customHeight="1">
      <x:c r="A68" s="2"/>
      <x:c r="B68" s="2"/>
      <x:c r="C68" s="26" t="n">
        <x:v>53</x:v>
      </x:c>
      <x:c r="D68" s="28" t="n">
        <x:v>0.006404</x:v>
      </x:c>
      <x:c r="E68" s="28" t="n">
        <x:v>0.003847</x:v>
      </x:c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 ht="34" customHeight="1">
      <x:c r="A69" s="2"/>
      <x:c r="B69" s="2"/>
      <x:c r="C69" s="26" t="n">
        <x:v>54</x:v>
      </x:c>
      <x:c r="D69" s="28" t="n">
        <x:v>0.006923</x:v>
      </x:c>
      <x:c r="E69" s="28" t="n">
        <x:v>0.004172</x:v>
      </x:c>
      <x:c r="F69" s="2"/>
      <x:c r="G69" s="17" t="str">
        <x:v>Historical input</x:v>
      </x:c>
      <x:c r="H69" s="18" t="str">
        <x:v>2019-01</x:v>
      </x:c>
      <x:c r="I69" s="18" t="str">
        <x:v>2020-03</x:v>
      </x:c>
      <x:c r="J69" s="19" t="str">
        <x:v>2022-09</x:v>
      </x:c>
      <x:c r="K69" s="2"/>
      <x:c r="L69" s="2"/>
      <x:c r="M69" s="2"/>
      <x:c r="N69" s="2"/>
      <x:c r="O69" s="2"/>
    </x:row>
    <x:row r="70" ht="20" customHeight="1">
      <x:c r="A70" s="2"/>
      <x:c r="B70" s="2"/>
      <x:c r="C70" s="26" t="n">
        <x:v>55</x:v>
      </x:c>
      <x:c r="D70" s="28" t="n">
        <x:v>0.007491</x:v>
      </x:c>
      <x:c r="E70" s="28" t="n">
        <x:v>0.004532</x:v>
      </x:c>
      <x:c r="F70" s="2"/>
      <x:c r="G70" s="2" t="str">
        <x:v>Start curve date</x:v>
      </x:c>
      <x:c r="H70" s="25" t="d">
        <x:v>2018-12-31T00:00:00.000Z</x:v>
      </x:c>
      <x:c r="I70" s="25" t="d">
        <x:v>2020-02-28T00:00:00.000Z</x:v>
      </x:c>
      <x:c r="J70" s="25" t="d">
        <x:v>2022-08-31T00:00:00.000Z</x:v>
      </x:c>
      <x:c r="K70" s="2"/>
      <x:c r="L70" s="2"/>
      <x:c r="M70" s="2"/>
      <x:c r="N70" s="2"/>
      <x:c r="O70" s="2"/>
    </x:row>
    <x:row r="71" ht="20" customHeight="1">
      <x:c r="A71" s="2"/>
      <x:c r="B71" s="2"/>
      <x:c r="C71" s="26" t="n">
        <x:v>56</x:v>
      </x:c>
      <x:c r="D71" s="28" t="n">
        <x:v>0.008173</x:v>
      </x:c>
      <x:c r="E71" s="28" t="n">
        <x:v>0.004923</x:v>
      </x:c>
      <x:c r="F71" s="2"/>
      <x:c r="G71" s="2" t="str">
        <x:v>End curve date</x:v>
      </x:c>
      <x:c r="H71" s="25" t="d">
        <x:v>2019-01-31T00:00:00.000Z</x:v>
      </x:c>
      <x:c r="I71" s="25" t="d">
        <x:v>2020-03-31T00:00:00.000Z</x:v>
      </x:c>
      <x:c r="J71" s="25" t="d">
        <x:v>2022-09-30T00:00:00.000Z</x:v>
      </x:c>
      <x:c r="K71" s="2"/>
      <x:c r="L71" s="2"/>
      <x:c r="M71" s="2"/>
      <x:c r="N71" s="2"/>
      <x:c r="O71" s="2"/>
    </x:row>
    <x:row r="72" ht="20" customHeight="1">
      <x:c r="A72" s="2"/>
      <x:c r="B72" s="2"/>
      <x:c r="C72" s="26" t="n">
        <x:v>57</x:v>
      </x:c>
      <x:c r="D72" s="28" t="n">
        <x:v>0.008938</x:v>
      </x:c>
      <x:c r="E72" s="28" t="n">
        <x:v>0.005365</x:v>
      </x:c>
      <x:c r="F72" s="2"/>
      <x:c r="G72" s="2" t="str">
        <x:v>Start BETA0</x:v>
      </x:c>
      <x:c r="H72" s="27" t="n">
        <x:v>5.14492077256517</x:v>
      </x:c>
      <x:c r="I72" s="27" t="n">
        <x:v>2.53396898581879</x:v>
      </x:c>
      <x:c r="J72" s="27" t="n">
        <x:v>3.96919016008399</x:v>
      </x:c>
      <x:c r="K72" s="2"/>
      <x:c r="L72" s="2"/>
      <x:c r="M72" s="2"/>
      <x:c r="N72" s="2"/>
      <x:c r="O72" s="2"/>
    </x:row>
    <x:row r="73" ht="20" customHeight="1">
      <x:c r="A73" s="2"/>
      <x:c r="B73" s="2"/>
      <x:c r="C73" s="26" t="n">
        <x:v>58</x:v>
      </x:c>
      <x:c r="D73" s="28" t="n">
        <x:v>0.009714</x:v>
      </x:c>
      <x:c r="E73" s="28" t="n">
        <x:v>0.005815</x:v>
      </x:c>
      <x:c r="F73" s="2"/>
      <x:c r="G73" s="2" t="str">
        <x:v>Start BETA1</x:v>
      </x:c>
      <x:c r="H73" s="27" t="n">
        <x:v>-2.37129481436817</x:v>
      </x:c>
      <x:c r="I73" s="27" t="n">
        <x:v>-0.919789181543843</x:v>
      </x:c>
      <x:c r="J73" s="27" t="n">
        <x:v>-0.836601244422863</x:v>
      </x:c>
      <x:c r="K73" s="2"/>
      <x:c r="L73" s="2"/>
      <x:c r="M73" s="2"/>
      <x:c r="N73" s="2"/>
      <x:c r="O73" s="2"/>
    </x:row>
    <x:row r="74" ht="20" customHeight="1">
      <x:c r="A74" s="2"/>
      <x:c r="B74" s="2"/>
      <x:c r="C74" s="26" t="n">
        <x:v>59</x:v>
      </x:c>
      <x:c r="D74" s="28" t="n">
        <x:v>0.010494</x:v>
      </x:c>
      <x:c r="E74" s="28" t="n">
        <x:v>0.006333</x:v>
      </x:c>
      <x:c r="F74" s="2"/>
      <x:c r="G74" s="2" t="str">
        <x:v>Start BETA2</x:v>
      </x:c>
      <x:c r="H74" s="27" t="n">
        <x:v>-2.83787111876559</x:v>
      </x:c>
      <x:c r="I74" s="27" t="n">
        <x:v>-2.40798643623242</x:v>
      </x:c>
      <x:c r="J74" s="27" t="n">
        <x:v>340.042204876572</x:v>
      </x:c>
      <x:c r="K74" s="2"/>
      <x:c r="L74" s="2"/>
      <x:c r="M74" s="2"/>
      <x:c r="N74" s="2"/>
      <x:c r="O74" s="2"/>
    </x:row>
    <x:row r="75" ht="20" customHeight="1">
      <x:c r="A75" s="2"/>
      <x:c r="B75" s="2"/>
      <x:c r="C75" s="26" t="n">
        <x:v>60</x:v>
      </x:c>
      <x:c r="D75" s="28" t="n">
        <x:v>0.011337</x:v>
      </x:c>
      <x:c r="E75" s="28" t="n">
        <x:v>0.006923</x:v>
      </x:c>
      <x:c r="F75" s="2"/>
      <x:c r="G75" s="2" t="str">
        <x:v>Start BETA3</x:v>
      </x:c>
      <x:c r="H75" s="27" t="n">
        <x:v>-5.25607670138492</x:v>
      </x:c>
      <x:c r="I75" s="27" t="n">
        <x:v>-3.24133082082176</x:v>
      </x:c>
      <x:c r="J75" s="27" t="n">
        <x:v>-340.9221283259</x:v>
      </x:c>
      <x:c r="K75" s="2"/>
      <x:c r="L75" s="2"/>
      <x:c r="M75" s="2"/>
      <x:c r="N75" s="2"/>
      <x:c r="O75" s="2"/>
    </x:row>
    <x:row r="76" ht="20" customHeight="1">
      <x:c r="A76" s="2"/>
      <x:c r="B76" s="2"/>
      <x:c r="C76" s="26" t="n">
        <x:v>61</x:v>
      </x:c>
      <x:c r="D76" s="28" t="n">
        <x:v>0.012232</x:v>
      </x:c>
      <x:c r="E76" s="28" t="n">
        <x:v>0.007555</x:v>
      </x:c>
      <x:c r="F76" s="2"/>
      <x:c r="G76" s="2" t="str">
        <x:v>Start TAU1</x:v>
      </x:c>
      <x:c r="H76" s="27" t="n">
        <x:v>2.60506594523655</x:v>
      </x:c>
      <x:c r="I76" s="27" t="n">
        <x:v>1.26058393056043</x:v>
      </x:c>
      <x:c r="J76" s="27" t="n">
        <x:v>2.74467222508117</x:v>
      </x:c>
      <x:c r="K76" s="2"/>
      <x:c r="L76" s="2"/>
      <x:c r="M76" s="2"/>
      <x:c r="N76" s="2"/>
      <x:c r="O76" s="2"/>
    </x:row>
    <x:row r="77" ht="20" customHeight="1">
      <x:c r="A77" s="2"/>
      <x:c r="B77" s="2"/>
      <x:c r="C77" s="26" t="n">
        <x:v>62</x:v>
      </x:c>
      <x:c r="D77" s="28" t="n">
        <x:v>0.013196</x:v>
      </x:c>
      <x:c r="E77" s="28" t="n">
        <x:v>0.00822</x:v>
      </x:c>
      <x:c r="F77" s="2"/>
      <x:c r="G77" s="2" t="str">
        <x:v>Start TAU2</x:v>
      </x:c>
      <x:c r="H77" s="27" t="n">
        <x:v>14.0877634210995</x:v>
      </x:c>
      <x:c r="I77" s="27" t="n">
        <x:v>5.31987605805525</x:v>
      </x:c>
      <x:c r="J77" s="27" t="n">
        <x:v>2.7633277490871</x:v>
      </x:c>
      <x:c r="K77" s="2"/>
      <x:c r="L77" s="2"/>
      <x:c r="M77" s="2"/>
      <x:c r="N77" s="2"/>
      <x:c r="O77" s="2"/>
    </x:row>
    <x:row r="78" ht="20" customHeight="1">
      <x:c r="A78" s="2"/>
      <x:c r="B78" s="2"/>
      <x:c r="C78" s="26" t="n">
        <x:v>63</x:v>
      </x:c>
      <x:c r="D78" s="28" t="n">
        <x:v>0.014229</x:v>
      </x:c>
      <x:c r="E78" s="28" t="n">
        <x:v>0.008881</x:v>
      </x:c>
      <x:c r="F78" s="2"/>
      <x:c r="G78" s="2" t="str">
        <x:v>End BETA0</x:v>
      </x:c>
      <x:c r="H78" s="27" t="n">
        <x:v>7.39124164463587</x:v>
      </x:c>
      <x:c r="I78" s="27" t="n">
        <x:v>2.29538925741053</x:v>
      </x:c>
      <x:c r="J78" s="27" t="n">
        <x:v>4.16041527018538</x:v>
      </x:c>
      <x:c r="K78" s="2"/>
      <x:c r="L78" s="2"/>
      <x:c r="M78" s="2"/>
      <x:c r="N78" s="2"/>
      <x:c r="O78" s="2"/>
    </x:row>
    <x:row r="79" ht="20" customHeight="1">
      <x:c r="A79" s="2"/>
      <x:c r="B79" s="2"/>
      <x:c r="C79" s="26" t="n">
        <x:v>64</x:v>
      </x:c>
      <x:c r="D79" s="28" t="n">
        <x:v>0.015316</x:v>
      </x:c>
      <x:c r="E79" s="28" t="n">
        <x:v>0.009514</x:v>
      </x:c>
      <x:c r="F79" s="2"/>
      <x:c r="G79" s="2" t="str">
        <x:v>End BETA1</x:v>
      </x:c>
      <x:c r="H79" s="27" t="n">
        <x:v>-4.75993777135757</x:v>
      </x:c>
      <x:c r="I79" s="27" t="n">
        <x:v>-2.01499009324435</x:v>
      </x:c>
      <x:c r="J79" s="27" t="n">
        <x:v>-0.335922832739662</x:v>
      </x:c>
      <x:c r="K79" s="2"/>
      <x:c r="L79" s="2"/>
      <x:c r="M79" s="2"/>
      <x:c r="N79" s="2"/>
      <x:c r="O79" s="2"/>
    </x:row>
    <x:row r="80" ht="20" customHeight="1">
      <x:c r="A80" s="2"/>
      <x:c r="B80" s="2"/>
      <x:c r="C80" s="26" t="n">
        <x:v>65</x:v>
      </x:c>
      <x:c r="D80" s="28" t="n">
        <x:v>0.016455</x:v>
      </x:c>
      <x:c r="E80" s="28" t="n">
        <x:v>0.010188</x:v>
      </x:c>
      <x:c r="F80" s="2"/>
      <x:c r="G80" s="2" t="str">
        <x:v>End BETA2</x:v>
      </x:c>
      <x:c r="H80" s="27" t="n">
        <x:v>-3.91129539060534</x:v>
      </x:c>
      <x:c r="I80" s="27" t="n">
        <x:v>-1.25345860058164</x:v>
      </x:c>
      <x:c r="J80" s="27" t="n">
        <x:v>5.20452755303816</x:v>
      </x:c>
      <x:c r="K80" s="2"/>
      <x:c r="L80" s="2"/>
      <x:c r="M80" s="2"/>
      <x:c r="N80" s="2"/>
      <x:c r="O80" s="2"/>
    </x:row>
    <x:row r="81" ht="20" customHeight="1">
      <x:c r="A81" s="2"/>
      <x:c r="B81" s="2"/>
      <x:c r="C81" s="26" t="n">
        <x:v>66</x:v>
      </x:c>
      <x:c r="D81" s="28" t="n">
        <x:v>0.017574</x:v>
      </x:c>
      <x:c r="E81" s="28" t="n">
        <x:v>0.01088</x:v>
      </x:c>
      <x:c r="F81" s="2"/>
      <x:c r="G81" s="2" t="str">
        <x:v>End BETA3</x:v>
      </x:c>
      <x:c r="H81" s="27" t="n">
        <x:v>-10.5293161603944</x:v>
      </x:c>
      <x:c r="I81" s="27" t="n">
        <x:v>-2.46116304774634</x:v>
      </x:c>
      <x:c r="J81" s="27" t="n">
        <x:v>-4.77657558122019</x:v>
      </x:c>
      <x:c r="K81" s="2"/>
      <x:c r="L81" s="2"/>
      <x:c r="M81" s="2"/>
      <x:c r="N81" s="2"/>
      <x:c r="O81" s="2"/>
    </x:row>
    <x:row r="82" ht="20" customHeight="1">
      <x:c r="A82" s="2"/>
      <x:c r="B82" s="2"/>
      <x:c r="C82" s="26" t="n">
        <x:v>67</x:v>
      </x:c>
      <x:c r="D82" s="28" t="n">
        <x:v>0.018735</x:v>
      </x:c>
      <x:c r="E82" s="28" t="n">
        <x:v>0.011659</x:v>
      </x:c>
      <x:c r="F82" s="2"/>
      <x:c r="G82" s="2" t="str">
        <x:v>End TAU1</x:v>
      </x:c>
      <x:c r="H82" s="27" t="n">
        <x:v>4.01727803650738</x:v>
      </x:c>
      <x:c r="I82" s="27" t="n">
        <x:v>2.48782895572408</x:v>
      </x:c>
      <x:c r="J82" s="27" t="n">
        <x:v>1.78279279222622</x:v>
      </x:c>
      <x:c r="K82" s="2"/>
      <x:c r="L82" s="2"/>
      <x:c r="M82" s="2"/>
      <x:c r="N82" s="2"/>
      <x:c r="O82" s="2"/>
    </x:row>
    <x:row r="83" ht="20" customHeight="1">
      <x:c r="A83" s="2"/>
      <x:c r="B83" s="2"/>
      <x:c r="C83" s="26" t="n">
        <x:v>68</x:v>
      </x:c>
      <x:c r="D83" s="28" t="n">
        <x:v>0.019981</x:v>
      </x:c>
      <x:c r="E83" s="28" t="n">
        <x:v>0.012543</x:v>
      </x:c>
      <x:c r="F83" s="2"/>
      <x:c r="G83" s="2" t="str">
        <x:v>End TAU2</x:v>
      </x:c>
      <x:c r="H83" s="27" t="n">
        <x:v>19.9820016483333</x:v>
      </x:c>
      <x:c r="I83" s="27" t="n">
        <x:v>5.90539172975896</x:v>
      </x:c>
      <x:c r="J83" s="27" t="n">
        <x:v>2.65918949660418</x:v>
      </x:c>
      <x:c r="K83" s="2"/>
      <x:c r="L83" s="2"/>
      <x:c r="M83" s="2"/>
      <x:c r="N83" s="2"/>
      <x:c r="O83" s="2"/>
    </x:row>
    <x:row r="84" ht="20" customHeight="1">
      <x:c r="A84" s="2"/>
      <x:c r="B84" s="2"/>
      <x:c r="C84" s="26" t="n">
        <x:v>69</x:v>
      </x:c>
      <x:c r="D84" s="28" t="n">
        <x:v>0.021366</x:v>
      </x:c>
      <x:c r="E84" s="28" t="n">
        <x:v>0.013581</x:v>
      </x:c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 ht="20" customHeight="1">
      <x:c r="A85" s="2"/>
      <x:c r="B85" s="2"/>
      <x:c r="C85" s="26" t="n">
        <x:v>70</x:v>
      </x:c>
      <x:c r="D85" s="28" t="n">
        <x:v>0.022903</x:v>
      </x:c>
      <x:c r="E85" s="28" t="n">
        <x:v>0.014769</x:v>
      </x:c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 ht="34" customHeight="1">
      <x:c r="A86" s="2"/>
      <x:c r="B86" s="2"/>
      <x:c r="C86" s="26" t="n">
        <x:v>71</x:v>
      </x:c>
      <x:c r="D86" s="28" t="n">
        <x:v>0.024615</x:v>
      </x:c>
      <x:c r="E86" s="28" t="n">
        <x:v>0.016153</x:v>
      </x:c>
      <x:c r="F86" s="2"/>
      <x:c r="G86" s="17" t="str">
        <x:v>Month index</x:v>
      </x:c>
      <x:c r="H86" s="18" t="str">
        <x:v>Method index</x:v>
      </x:c>
      <x:c r="I86" s="18" t="str">
        <x:v>Weight 1y</x:v>
      </x:c>
      <x:c r="J86" s="18" t="str">
        <x:v>Weight 5y</x:v>
      </x:c>
      <x:c r="K86" s="18" t="str">
        <x:v>Weight 10y</x:v>
      </x:c>
      <x:c r="L86" s="18" t="str">
        <x:v>Weight 20y</x:v>
      </x:c>
      <x:c r="M86" s="18" t="str">
        <x:v>Weight 30y</x:v>
      </x:c>
      <x:c r="N86" s="18" t="str">
        <x:v>Initial liability PV</x:v>
      </x:c>
      <x:c r="O86" s="19" t="str">
        <x:v>Sealed surplus fraction</x:v>
      </x:c>
    </x:row>
    <x:row r="87" ht="20" customHeight="1">
      <x:c r="A87" s="2"/>
      <x:c r="B87" s="2"/>
      <x:c r="C87" s="26" t="n">
        <x:v>72</x:v>
      </x:c>
      <x:c r="D87" s="28" t="n">
        <x:v>0.026504</x:v>
      </x:c>
      <x:c r="E87" s="28" t="n">
        <x:v>0.017705</x:v>
      </x:c>
      <x:c r="F87" s="2"/>
      <x:c r="G87" s="26" t="n">
        <x:v>1</x:v>
      </x:c>
      <x:c r="H87" s="26" t="n">
        <x:v>1</x:v>
      </x:c>
      <x:c r="I87" s="28" t="n">
        <x:v>0</x:v>
      </x:c>
      <x:c r="J87" s="28" t="n">
        <x:v>1</x:v>
      </x:c>
      <x:c r="K87" s="28" t="n">
        <x:v>0</x:v>
      </x:c>
      <x:c r="L87" s="28" t="n">
        <x:v>0</x:v>
      </x:c>
      <x:c r="M87" s="28" t="n">
        <x:v>0</x:v>
      </x:c>
      <x:c r="N87" s="29" t="n">
        <x:v>1976.9144009535466</x:v>
      </x:c>
      <x:c r="O87" s="31" t="n">
        <x:v>-0.0021994774163237064</x:v>
      </x:c>
    </x:row>
    <x:row r="88" ht="20" customHeight="1">
      <x:c r="A88" s="2"/>
      <x:c r="B88" s="2"/>
      <x:c r="C88" s="26" t="n">
        <x:v>73</x:v>
      </x:c>
      <x:c r="D88" s="28" t="n">
        <x:v>0.028648</x:v>
      </x:c>
      <x:c r="E88" s="28" t="n">
        <x:v>0.019495</x:v>
      </x:c>
      <x:c r="F88" s="2"/>
      <x:c r="G88" s="26" t="n">
        <x:v>1</x:v>
      </x:c>
      <x:c r="H88" s="26" t="n">
        <x:v>2</x:v>
      </x:c>
      <x:c r="I88" s="28" t="n">
        <x:v>0</x:v>
      </x:c>
      <x:c r="J88" s="28" t="n">
        <x:v>0.454425929525781</x:v>
      </x:c>
      <x:c r="K88" s="28" t="n">
        <x:v>0</x:v>
      </x:c>
      <x:c r="L88" s="28" t="n">
        <x:v>0.545574070474219</x:v>
      </x:c>
      <x:c r="M88" s="28" t="n">
        <x:v>0</x:v>
      </x:c>
      <x:c r="N88" s="29" t="n">
        <x:v>1976.9144009535466</x:v>
      </x:c>
      <x:c r="O88" s="31" t="n">
        <x:v>-0.000709822784214821</x:v>
      </x:c>
    </x:row>
    <x:row r="89" ht="20" customHeight="1">
      <x:c r="A89" s="2"/>
      <x:c r="B89" s="2"/>
      <x:c r="C89" s="26" t="n">
        <x:v>74</x:v>
      </x:c>
      <x:c r="D89" s="28" t="n">
        <x:v>0.031071</x:v>
      </x:c>
      <x:c r="E89" s="28" t="n">
        <x:v>0.021533</x:v>
      </x:c>
      <x:c r="F89" s="2"/>
      <x:c r="G89" s="26" t="n">
        <x:v>1</x:v>
      </x:c>
      <x:c r="H89" s="26" t="n">
        <x:v>3</x:v>
      </x:c>
      <x:c r="I89" s="28" t="n">
        <x:v>0.10066838713524535</x:v>
      </x:c>
      <x:c r="J89" s="28" t="n">
        <x:v>0.2032342922088788</x:v>
      </x:c>
      <x:c r="K89" s="28" t="n">
        <x:v>0.31281035005471125</x:v>
      </x:c>
      <x:c r="L89" s="28" t="n">
        <x:v>0.27496156083553186</x:v>
      </x:c>
      <x:c r="M89" s="28" t="n">
        <x:v>0.10832540976563271</x:v>
      </x:c>
      <x:c r="N89" s="29" t="n">
        <x:v>1976.9144009535466</x:v>
      </x:c>
      <x:c r="O89" s="31" t="n">
        <x:v>0.00004910042488413422</x:v>
      </x:c>
    </x:row>
    <x:row r="90" ht="20" customHeight="1">
      <x:c r="A90" s="2"/>
      <x:c r="B90" s="2"/>
      <x:c r="C90" s="26" t="n">
        <x:v>75</x:v>
      </x:c>
      <x:c r="D90" s="28" t="n">
        <x:v>0.033802</x:v>
      </x:c>
      <x:c r="E90" s="28" t="n">
        <x:v>0.023846</x:v>
      </x:c>
      <x:c r="F90" s="2"/>
      <x:c r="G90" s="26" t="n">
        <x:v>1</x:v>
      </x:c>
      <x:c r="H90" s="26" t="n">
        <x:v>4</x:v>
      </x:c>
      <x:c r="I90" s="28" t="n">
        <x:v>0.0838745435169125</x:v>
      </x:c>
      <x:c r="J90" s="28" t="n">
        <x:v>0.21762507378878984</x:v>
      </x:c>
      <x:c r="K90" s="28" t="n">
        <x:v>0.3149018500793736</x:v>
      </x:c>
      <x:c r="L90" s="28" t="n">
        <x:v>0.2748371239457191</x:v>
      </x:c>
      <x:c r="M90" s="28" t="n">
        <x:v>0.10876140866920488</x:v>
      </x:c>
      <x:c r="N90" s="29" t="n">
        <x:v>1976.9144009535466</x:v>
      </x:c>
      <x:c r="O90" s="31" t="n">
        <x:v>0.00010647115338087056</x:v>
      </x:c>
    </x:row>
    <x:row r="91" ht="20" customHeight="1">
      <x:c r="A91" s="2"/>
      <x:c r="B91" s="2"/>
      <x:c r="C91" s="26" t="n">
        <x:v>76</x:v>
      </x:c>
      <x:c r="D91" s="28" t="n">
        <x:v>0.03701</x:v>
      </x:c>
      <x:c r="E91" s="28" t="n">
        <x:v>0.026458</x:v>
      </x:c>
      <x:c r="F91" s="2"/>
      <x:c r="G91" s="26" t="n">
        <x:v>2</x:v>
      </x:c>
      <x:c r="H91" s="26" t="n">
        <x:v>1</x:v>
      </x:c>
      <x:c r="I91" s="28" t="n">
        <x:v>0</x:v>
      </x:c>
      <x:c r="J91" s="28" t="n">
        <x:v>1</x:v>
      </x:c>
      <x:c r="K91" s="28" t="n">
        <x:v>0</x:v>
      </x:c>
      <x:c r="L91" s="28" t="n">
        <x:v>0</x:v>
      </x:c>
      <x:c r="M91" s="28" t="n">
        <x:v>0</x:v>
      </x:c>
      <x:c r="N91" s="29" t="n">
        <x:v>2396.5608332341367</x:v>
      </x:c>
      <x:c r="O91" s="31" t="n">
        <x:v>-0.022186102365240237</x:v>
      </x:c>
    </x:row>
    <x:row r="92" ht="20" customHeight="1">
      <x:c r="A92" s="2"/>
      <x:c r="B92" s="2"/>
      <x:c r="C92" s="26" t="n">
        <x:v>77</x:v>
      </x:c>
      <x:c r="D92" s="28" t="n">
        <x:v>0.041158</x:v>
      </x:c>
      <x:c r="E92" s="28" t="n">
        <x:v>0.0297</x:v>
      </x:c>
      <x:c r="F92" s="2"/>
      <x:c r="G92" s="26" t="n">
        <x:v>2</x:v>
      </x:c>
      <x:c r="H92" s="26" t="n">
        <x:v>2</x:v>
      </x:c>
      <x:c r="I92" s="28" t="n">
        <x:v>0</x:v>
      </x:c>
      <x:c r="J92" s="28" t="n">
        <x:v>0.3934398848761712</x:v>
      </x:c>
      <x:c r="K92" s="28" t="n">
        <x:v>0</x:v>
      </x:c>
      <x:c r="L92" s="28" t="n">
        <x:v>0.6065601151238288</x:v>
      </x:c>
      <x:c r="M92" s="28" t="n">
        <x:v>0</x:v>
      </x:c>
      <x:c r="N92" s="29" t="n">
        <x:v>2396.5608332341367</x:v>
      </x:c>
      <x:c r="O92" s="31" t="n">
        <x:v>-0.00008610600742614717</x:v>
      </x:c>
    </x:row>
    <x:row r="93" ht="20" customHeight="1">
      <x:c r="A93" s="2"/>
      <x:c r="B93" s="2"/>
      <x:c r="C93" s="26" t="n">
        <x:v>78</x:v>
      </x:c>
      <x:c r="D93" s="28" t="n">
        <x:v>0.045461</x:v>
      </x:c>
      <x:c r="E93" s="28" t="n">
        <x:v>0.033135</x:v>
      </x:c>
      <x:c r="F93" s="2"/>
      <x:c r="G93" s="26" t="n">
        <x:v>2</x:v>
      </x:c>
      <x:c r="H93" s="26" t="n">
        <x:v>3</x:v>
      </x:c>
      <x:c r="I93" s="28" t="n">
        <x:v>0.0785482055731875</x:v>
      </x:c>
      <x:c r="J93" s="28" t="n">
        <x:v>0.18388313748247087</x:v>
      </x:c>
      <x:c r="K93" s="28" t="n">
        <x:v>0.3100564187565053</x:v>
      </x:c>
      <x:c r="L93" s="28" t="n">
        <x:v>0.299913395797471</x:v>
      </x:c>
      <x:c r="M93" s="28" t="n">
        <x:v>0.12759884239036517</x:v>
      </x:c>
      <x:c r="N93" s="29" t="n">
        <x:v>2396.5608332341367</x:v>
      </x:c>
      <x:c r="O93" s="31" t="n">
        <x:v>-0.0001876075855952338</x:v>
      </x:c>
    </x:row>
    <x:row r="94" ht="20" customHeight="1">
      <x:c r="A94" s="2"/>
      <x:c r="B94" s="2"/>
      <x:c r="C94" s="26" t="n">
        <x:v>79</x:v>
      </x:c>
      <x:c r="D94" s="28" t="n">
        <x:v>0.050346</x:v>
      </x:c>
      <x:c r="E94" s="28" t="n">
        <x:v>0.036982</x:v>
      </x:c>
      <x:c r="F94" s="2"/>
      <x:c r="G94" s="26" t="n">
        <x:v>2</x:v>
      </x:c>
      <x:c r="H94" s="26" t="n">
        <x:v>4</x:v>
      </x:c>
      <x:c r="I94" s="28" t="n">
        <x:v>0.06317448078668163</x:v>
      </x:c>
      <x:c r="J94" s="28" t="n">
        <x:v>0.19705745698363872</x:v>
      </x:c>
      <x:c r="K94" s="28" t="n">
        <x:v>0.311970688807577</x:v>
      </x:c>
      <x:c r="L94" s="28" t="n">
        <x:v>0.29979927950341495</x:v>
      </x:c>
      <x:c r="M94" s="28" t="n">
        <x:v>0.12799809391868758</x:v>
      </x:c>
      <x:c r="N94" s="29" t="n">
        <x:v>2396.5608332341367</x:v>
      </x:c>
      <x:c r="O94" s="31" t="n">
        <x:v>0.00011015355368874363</x:v>
      </x:c>
    </x:row>
    <x:row r="95" ht="20" customHeight="1">
      <x:c r="A95" s="2"/>
      <x:c r="B95" s="2"/>
      <x:c r="C95" s="26" t="n">
        <x:v>80</x:v>
      </x:c>
      <x:c r="D95" s="28" t="n">
        <x:v>0.055633</x:v>
      </x:c>
      <x:c r="E95" s="28" t="n">
        <x:v>0.041183</x:v>
      </x:c>
      <x:c r="F95" s="2"/>
      <x:c r="G95" s="26" t="n">
        <x:v>3</x:v>
      </x:c>
      <x:c r="H95" s="26" t="n">
        <x:v>1</x:v>
      </x:c>
      <x:c r="I95" s="28" t="n">
        <x:v>0</x:v>
      </x:c>
      <x:c r="J95" s="28" t="n">
        <x:v>1</x:v>
      </x:c>
      <x:c r="K95" s="28" t="n">
        <x:v>0</x:v>
      </x:c>
      <x:c r="L95" s="28" t="n">
        <x:v>0</x:v>
      </x:c>
      <x:c r="M95" s="28" t="n">
        <x:v>0</x:v>
      </x:c>
      <x:c r="N95" s="29" t="n">
        <x:v>1847.7770115439605</x:v>
      </x:c>
      <x:c r="O95" s="31" t="n">
        <x:v>0.033120369713655395</x:v>
      </x:c>
    </x:row>
    <x:row r="96" ht="20" customHeight="1">
      <x:c r="A96" s="2"/>
      <x:c r="B96" s="2"/>
      <x:c r="C96" s="26" t="n">
        <x:v>81</x:v>
      </x:c>
      <x:c r="D96" s="28" t="n">
        <x:v>0.061757</x:v>
      </x:c>
      <x:c r="E96" s="28" t="n">
        <x:v>0.045959</x:v>
      </x:c>
      <x:c r="F96" s="2"/>
      <x:c r="G96" s="26" t="n">
        <x:v>3</x:v>
      </x:c>
      <x:c r="H96" s="26" t="n">
        <x:v>2</x:v>
      </x:c>
      <x:c r="I96" s="28" t="n">
        <x:v>0</x:v>
      </x:c>
      <x:c r="J96" s="28" t="n">
        <x:v>0.47473043572820234</x:v>
      </x:c>
      <x:c r="K96" s="28" t="n">
        <x:v>0</x:v>
      </x:c>
      <x:c r="L96" s="28" t="n">
        <x:v>0.5252695642717977</x:v>
      </x:c>
      <x:c r="M96" s="28" t="n">
        <x:v>0</x:v>
      </x:c>
      <x:c r="N96" s="29" t="n">
        <x:v>1847.7770115439605</x:v>
      </x:c>
      <x:c r="O96" s="31" t="n">
        <x:v>-0.0008192960180826394</x:v>
      </x:c>
    </x:row>
    <x:row r="97" ht="20" customHeight="1">
      <x:c r="A97" s="2"/>
      <x:c r="B97" s="2"/>
      <x:c r="C97" s="26" t="n">
        <x:v>82</x:v>
      </x:c>
      <x:c r="D97" s="28" t="n">
        <x:v>0.068358</x:v>
      </x:c>
      <x:c r="E97" s="28" t="n">
        <x:v>0.051282</x:v>
      </x:c>
      <x:c r="F97" s="2"/>
      <x:c r="G97" s="26" t="n">
        <x:v>3</x:v>
      </x:c>
      <x:c r="H97" s="26" t="n">
        <x:v>3</x:v>
      </x:c>
      <x:c r="I97" s="28" t="n">
        <x:v>0.10793065587846229</x:v>
      </x:c>
      <x:c r="J97" s="28" t="n">
        <x:v>0.20870847328875627</x:v>
      </x:c>
      <x:c r="K97" s="28" t="n">
        <x:v>0.3152462324737831</x:v>
      </x:c>
      <x:c r="L97" s="28" t="n">
        <x:v>0.2662877616515723</x:v>
      </x:c>
      <x:c r="M97" s="28" t="n">
        <x:v>0.10182687670742595</x:v>
      </x:c>
      <x:c r="N97" s="29" t="n">
        <x:v>1847.7770115439605</x:v>
      </x:c>
      <x:c r="O97" s="31" t="n">
        <x:v>0.0012275098311589085</x:v>
      </x:c>
    </x:row>
    <x:row r="98" ht="20" customHeight="1">
      <x:c r="A98" s="2"/>
      <x:c r="B98" s="2"/>
      <x:c r="C98" s="26" t="n">
        <x:v>83</x:v>
      </x:c>
      <x:c r="D98" s="28" t="n">
        <x:v>0.07542</x:v>
      </x:c>
      <x:c r="E98" s="28" t="n">
        <x:v>0.057262</x:v>
      </x:c>
      <x:c r="F98" s="2"/>
      <x:c r="G98" s="26" t="n">
        <x:v>3</x:v>
      </x:c>
      <x:c r="H98" s="26" t="n">
        <x:v>4</x:v>
      </x:c>
      <x:c r="I98" s="28" t="n">
        <x:v>0.09070519574261707</x:v>
      </x:c>
      <x:c r="J98" s="28" t="n">
        <x:v>0.22346903865411616</x:v>
      </x:c>
      <x:c r="K98" s="28" t="n">
        <x:v>0.3173915187026575</x:v>
      </x:c>
      <x:c r="L98" s="28" t="n">
        <x:v>0.2661602047327259</x:v>
      </x:c>
      <x:c r="M98" s="28" t="n">
        <x:v>0.10227404216788341</x:v>
      </x:c>
      <x:c r="N98" s="29" t="n">
        <x:v>1847.7770115439605</x:v>
      </x:c>
      <x:c r="O98" s="31" t="n">
        <x:v>0.0006407222252796005</x:v>
      </x:c>
    </x:row>
    <x:row r="99" ht="20" customHeight="1">
      <x:c r="A99" s="2"/>
      <x:c r="B99" s="2"/>
      <x:c r="C99" s="26" t="n">
        <x:v>84</x:v>
      </x:c>
      <x:c r="D99" s="28" t="n">
        <x:v>0.083364</x:v>
      </x:c>
      <x:c r="E99" s="28" t="n">
        <x:v>0.064107</x:v>
      </x:c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 ht="20" customHeight="1">
      <x:c r="A100" s="2"/>
      <x:c r="B100" s="2"/>
      <x:c r="C100" s="26" t="n">
        <x:v>85</x:v>
      </x:c>
      <x:c r="D100" s="28" t="n">
        <x:v>0.09268</x:v>
      </x:c>
      <x:c r="E100" s="28" t="n">
        <x:v>0.071752</x:v>
      </x:c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 ht="20" customHeight="1">
      <x:c r="A101" s="2"/>
      <x:c r="B101" s="2"/>
      <x:c r="C101" s="26" t="n">
        <x:v>86</x:v>
      </x:c>
      <x:c r="D101" s="28" t="n">
        <x:v>0.103459</x:v>
      </x:c>
      <x:c r="E101" s="28" t="n">
        <x:v>0.08049</x:v>
      </x:c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 ht="20" customHeight="1">
      <x:c r="A102" s="2"/>
      <x:c r="B102" s="2"/>
      <x:c r="C102" s="26" t="n">
        <x:v>87</x:v>
      </x:c>
      <x:c r="D102" s="28" t="n">
        <x:v>0.115502</x:v>
      </x:c>
      <x:c r="E102" s="28" t="n">
        <x:v>0.090566</x:v>
      </x:c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 ht="20" customHeight="1">
      <x:c r="A103" s="2"/>
      <x:c r="B103" s="2"/>
      <x:c r="C103" s="26" t="n">
        <x:v>88</x:v>
      </x:c>
      <x:c r="D103" s="28" t="n">
        <x:v>0.129018</x:v>
      </x:c>
      <x:c r="E103" s="28" t="n">
        <x:v>0.102204</x:v>
      </x:c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 ht="20" customHeight="1">
      <x:c r="A104" s="2"/>
      <x:c r="B104" s="2"/>
      <x:c r="C104" s="26" t="n">
        <x:v>89</x:v>
      </x:c>
      <x:c r="D104" s="28" t="n">
        <x:v>0.14381</x:v>
      </x:c>
      <x:c r="E104" s="28" t="n">
        <x:v>0.115178</x:v>
      </x:c>
      <x:c r="F104" s="2"/>
      <x:c r="G104" s="2" t="str">
        <x:v>Historical annual payment</x:v>
      </x:c>
      <x:c r="H104" s="26" t="n">
        <x:v>100</x:v>
      </x:c>
      <x:c r="I104" s="2"/>
      <x:c r="J104" s="2"/>
      <x:c r="K104" s="2"/>
      <x:c r="L104" s="2"/>
      <x:c r="M104" s="2"/>
      <x:c r="N104" s="2"/>
      <x:c r="O104" s="2"/>
    </x:row>
    <x:row r="105" ht="20" customHeight="1">
      <x:c r="A105" s="2"/>
      <x:c r="B105" s="2"/>
      <x:c r="C105" s="26" t="n">
        <x:v>90</x:v>
      </x:c>
      <x:c r="D105" s="28" t="n">
        <x:v>0.159458</x:v>
      </x:c>
      <x:c r="E105" s="28" t="n">
        <x:v>0.129176</x:v>
      </x:c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 ht="20" customHeight="1">
      <x:c r="A106" s="2"/>
      <x:c r="B106" s="2"/>
      <x:c r="C106" s="26" t="n">
        <x:v>91</x:v>
      </x:c>
      <x:c r="D106" s="28" t="n">
        <x:v>0.176551</x:v>
      </x:c>
      <x:c r="E106" s="28" t="n">
        <x:v>0.144229</x:v>
      </x:c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 ht="20" customHeight="1">
      <x:c r="A107" s="2"/>
      <x:c r="B107" s="2"/>
      <x:c r="C107" s="26" t="n">
        <x:v>92</x:v>
      </x:c>
      <x:c r="D107" s="28" t="n">
        <x:v>0.19536</x:v>
      </x:c>
      <x:c r="E107" s="28" t="n">
        <x:v>0.160353</x:v>
      </x:c>
      <x:c r="F107" s="2"/>
      <x:c r="G107" s="23" t="str">
        <x:v>Historical experiment: hypothetical 30-year nominal payments and five zero bonds, reset monthly.</x:v>
      </x:c>
      <x:c r="H107" s="2"/>
      <x:c r="I107" s="2"/>
      <x:c r="J107" s="2"/>
      <x:c r="K107" s="2"/>
      <x:c r="L107" s="2"/>
      <x:c r="M107" s="2"/>
      <x:c r="N107" s="2"/>
      <x:c r="O107" s="2"/>
    </x:row>
    <x:row r="108" ht="20" customHeight="1">
      <x:c r="A108" s="2"/>
      <x:c r="B108" s="2"/>
      <x:c r="C108" s="26" t="n">
        <x:v>93</x:v>
      </x:c>
      <x:c r="D108" s="28" t="n">
        <x:v>0.216286</x:v>
      </x:c>
      <x:c r="E108" s="28" t="n">
        <x:v>0.177635</x:v>
      </x:c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 ht="20" customHeight="1">
      <x:c r="A109" s="2"/>
      <x:c r="B109" s="2"/>
      <x:c r="C109" s="26" t="n">
        <x:v>94</x:v>
      </x:c>
      <x:c r="D109" s="28" t="n">
        <x:v>0.238799</x:v>
      </x:c>
      <x:c r="E109" s="28" t="n">
        <x:v>0.196502</x:v>
      </x:c>
      <x:c r="F109" s="2"/>
      <x:c r="G109" s="23" t="str">
        <x:v>Downloaded curve history can be revised. No point-in-time-vintage or realised-profit claim.</x:v>
      </x:c>
      <x:c r="H109" s="2"/>
      <x:c r="I109" s="2"/>
      <x:c r="J109" s="2"/>
      <x:c r="K109" s="2"/>
      <x:c r="L109" s="2"/>
      <x:c r="M109" s="2"/>
      <x:c r="N109" s="2"/>
      <x:c r="O109" s="2"/>
    </x:row>
    <x:row r="110" ht="20" customHeight="1">
      <x:c r="A110" s="2"/>
      <x:c r="B110" s="2"/>
      <x:c r="C110" s="26" t="n">
        <x:v>95</x:v>
      </x:c>
      <x:c r="D110" s="28" t="n">
        <x:v>0.262268</x:v>
      </x:c>
      <x:c r="E110" s="28" t="n">
        <x:v>0.216846</x:v>
      </x:c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 ht="20" customHeight="1">
      <x:c r="A111" s="2"/>
      <x:c r="B111" s="2"/>
      <x:c r="C111" s="26" t="n">
        <x:v>96</x:v>
      </x:c>
      <x:c r="D111" s="28" t="n">
        <x:v>0.286291</x:v>
      </x:c>
      <x:c r="E111" s="28" t="n">
        <x:v>0.23875</x:v>
      </x:c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 ht="20" customHeight="1">
      <x:c r="A112" s="2"/>
      <x:c r="B112" s="2"/>
      <x:c r="C112" s="26" t="n">
        <x:v>97</x:v>
      </x:c>
      <x:c r="D112" s="28" t="n">
        <x:v>0.310944</x:v>
      </x:c>
      <x:c r="E112" s="28" t="n">
        <x:v>0.261359</x:v>
      </x:c>
      <x:c r="F112" s="2"/>
      <x:c r="G112" s="23" t="str">
        <x:v>Fed CSV SHA256</x:v>
      </x:c>
      <x:c r="H112" s="2"/>
      <x:c r="I112" s="2"/>
      <x:c r="J112" s="2"/>
      <x:c r="K112" s="2"/>
      <x:c r="L112" s="2"/>
      <x:c r="M112" s="2"/>
      <x:c r="N112" s="2"/>
      <x:c r="O112" s="2"/>
    </x:row>
    <x:row r="113" ht="20" customHeight="1">
      <x:c r="A113" s="2"/>
      <x:c r="B113" s="2"/>
      <x:c r="C113" s="26" t="n">
        <x:v>98</x:v>
      </x:c>
      <x:c r="D113" s="28" t="n">
        <x:v>0.332325</x:v>
      </x:c>
      <x:c r="E113" s="28" t="n">
        <x:v>0.283899</x:v>
      </x:c>
      <x:c r="F113" s="2"/>
      <x:c r="G113" s="2" t="str">
        <x:v>7286435090933f0df1dcaeb15629f3a9129c083baee4c42ae5df03d0bb89335c</x:v>
      </x:c>
      <x:c r="H113" s="2"/>
      <x:c r="I113" s="2"/>
      <x:c r="J113" s="2"/>
      <x:c r="K113" s="2"/>
      <x:c r="L113" s="2"/>
      <x:c r="M113" s="2"/>
      <x:c r="N113" s="2"/>
      <x:c r="O113" s="2"/>
    </x:row>
    <x:row r="114" ht="20" customHeight="1">
      <x:c r="A114" s="2"/>
      <x:c r="B114" s="2"/>
      <x:c r="C114" s="26" t="n">
        <x:v>99</x:v>
      </x:c>
      <x:c r="D114" s="28" t="n">
        <x:v>0.349036</x:v>
      </x:c>
      <x:c r="E114" s="28" t="n">
        <x:v>0.306491</x:v>
      </x:c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 ht="20" customHeight="1">
      <x:c r="A115" s="2"/>
      <x:c r="B115" s="2"/>
      <x:c r="C115" s="26" t="n">
        <x:v>100</x:v>
      </x:c>
      <x:c r="D115" s="28" t="n">
        <x:v>0.366568</x:v>
      </x:c>
      <x:c r="E115" s="28" t="n">
        <x:v>0.32968</x:v>
      </x:c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 ht="20" customHeight="1">
      <x:c r="A116" s="2"/>
      <x:c r="B116" s="2"/>
      <x:c r="C116" s="26" t="n">
        <x:v>101</x:v>
      </x:c>
      <x:c r="D116" s="28" t="n">
        <x:v>0.38496</x:v>
      </x:c>
      <x:c r="E116" s="28" t="n">
        <x:v>0.353333</x:v>
      </x:c>
      <x:c r="F116" s="2"/>
      <x:c r="G116" s="23" t="str">
        <x:v>SSA transcription SHA256</x:v>
      </x:c>
      <x:c r="H116" s="2"/>
      <x:c r="I116" s="2"/>
      <x:c r="J116" s="2"/>
      <x:c r="K116" s="2"/>
      <x:c r="L116" s="2"/>
      <x:c r="M116" s="2"/>
      <x:c r="N116" s="2"/>
      <x:c r="O116" s="2"/>
    </x:row>
    <x:row r="117" ht="20" customHeight="1">
      <x:c r="A117" s="2"/>
      <x:c r="B117" s="2"/>
      <x:c r="C117" s="26" t="n">
        <x:v>102</x:v>
      </x:c>
      <x:c r="D117" s="28" t="n">
        <x:v>0.404252</x:v>
      </x:c>
      <x:c r="E117" s="28" t="n">
        <x:v>0.3773</x:v>
      </x:c>
      <x:c r="F117" s="2"/>
      <x:c r="G117" s="2" t="str">
        <x:v>1cc6300b231972794d25dbf8ed53f559ffe2557c2082e52d9e8774b66e41ae35</x:v>
      </x:c>
      <x:c r="H117" s="2"/>
      <x:c r="I117" s="2"/>
      <x:c r="J117" s="2"/>
      <x:c r="K117" s="2"/>
      <x:c r="L117" s="2"/>
      <x:c r="M117" s="2"/>
      <x:c r="N117" s="2"/>
      <x:c r="O117" s="2"/>
    </x:row>
    <x:row r="118" ht="20" customHeight="1">
      <x:c r="A118" s="2"/>
      <x:c r="B118" s="2"/>
      <x:c r="C118" s="26" t="n">
        <x:v>103</x:v>
      </x:c>
      <x:c r="D118" s="28" t="n">
        <x:v>0.424488</x:v>
      </x:c>
      <x:c r="E118" s="28" t="n">
        <x:v>0.401416</x:v>
      </x:c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 ht="20" customHeight="1">
      <x:c r="A119" s="2"/>
      <x:c r="B119" s="2"/>
      <x:c r="C119" s="26" t="n">
        <x:v>104</x:v>
      </x:c>
      <x:c r="D119" s="28" t="n">
        <x:v>0.445712</x:v>
      </x:c>
      <x:c r="E119" s="28" t="n">
        <x:v>0.425501</x:v>
      </x:c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 ht="20" customHeight="1">
      <x:c r="A120" s="2"/>
      <x:c r="B120" s="2"/>
      <x:c r="C120" s="26" t="n">
        <x:v>105</x:v>
      </x:c>
      <x:c r="D120" s="28" t="n">
        <x:v>0.467998</x:v>
      </x:c>
      <x:c r="E120" s="28" t="n">
        <x:v>0.451031</x:v>
      </x:c>
      <x:c r="F120" s="2"/>
      <x:c r="G120" s="23" t="str">
        <x:v>Sealed final-prediction SHA256</x:v>
      </x:c>
      <x:c r="H120" s="2"/>
      <x:c r="I120" s="2"/>
      <x:c r="J120" s="2"/>
      <x:c r="K120" s="2"/>
      <x:c r="L120" s="2"/>
      <x:c r="M120" s="2"/>
      <x:c r="N120" s="2"/>
      <x:c r="O120" s="2"/>
    </x:row>
    <x:row r="121" ht="20" customHeight="1">
      <x:c r="A121" s="2"/>
      <x:c r="B121" s="2"/>
      <x:c r="C121" s="26" t="n">
        <x:v>106</x:v>
      </x:c>
      <x:c r="D121" s="28" t="n">
        <x:v>0.491398</x:v>
      </x:c>
      <x:c r="E121" s="28" t="n">
        <x:v>0.478092</x:v>
      </x:c>
      <x:c r="F121" s="2"/>
      <x:c r="G121" s="2" t="str">
        <x:v>b166252af3a7cf8a3ed64981ac96baddefefc07a124190268ac269de37beefc9</x:v>
      </x:c>
      <x:c r="H121" s="2"/>
      <x:c r="I121" s="2"/>
      <x:c r="J121" s="2"/>
      <x:c r="K121" s="2"/>
      <x:c r="L121" s="2"/>
      <x:c r="M121" s="2"/>
      <x:c r="N121" s="2"/>
      <x:c r="O121" s="2"/>
    </x:row>
    <x:row r="122" ht="20" customHeight="1">
      <x:c r="A122" s="2"/>
      <x:c r="B122" s="2"/>
      <x:c r="C122" s="26" t="n">
        <x:v>107</x:v>
      </x:c>
      <x:c r="D122" s="28" t="n">
        <x:v>0.515968</x:v>
      </x:c>
      <x:c r="E122" s="28" t="n">
        <x:v>0.506778</x:v>
      </x:c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 ht="20" customHeight="1">
      <x:c r="A123" s="2"/>
      <x:c r="B123" s="2"/>
      <x:c r="C123" s="26" t="n">
        <x:v>108</x:v>
      </x:c>
      <x:c r="D123" s="28" t="n">
        <x:v>0.541766</x:v>
      </x:c>
      <x:c r="E123" s="28" t="n">
        <x:v>0.537185</x:v>
      </x:c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 ht="20" customHeight="1">
      <x:c r="A124" s="2"/>
      <x:c r="B124" s="2"/>
      <x:c r="C124" s="26" t="n">
        <x:v>109</x:v>
      </x:c>
      <x:c r="D124" s="28" t="n">
        <x:v>0.568854</x:v>
      </x:c>
      <x:c r="E124" s="28" t="n">
        <x:v>0.568854</x:v>
      </x:c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 ht="20" customHeight="1">
      <x:c r="A125" s="2"/>
      <x:c r="B125" s="2"/>
      <x:c r="C125" s="26" t="n">
        <x:v>110</x:v>
      </x:c>
      <x:c r="D125" s="28" t="n">
        <x:v>0.597297</x:v>
      </x:c>
      <x:c r="E125" s="28" t="n">
        <x:v>0.597297</x:v>
      </x:c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 ht="20" customHeight="1">
      <x:c r="A126" s="2"/>
      <x:c r="B126" s="2"/>
      <x:c r="C126" s="26" t="n">
        <x:v>111</x:v>
      </x:c>
      <x:c r="D126" s="28" t="n">
        <x:v>0.627162</x:v>
      </x:c>
      <x:c r="E126" s="28" t="n">
        <x:v>0.627162</x:v>
      </x:c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 ht="20" customHeight="1">
      <x:c r="A127" s="2"/>
      <x:c r="B127" s="2"/>
      <x:c r="C127" s="26" t="n">
        <x:v>112</x:v>
      </x:c>
      <x:c r="D127" s="28" t="n">
        <x:v>0.65852</x:v>
      </x:c>
      <x:c r="E127" s="28" t="n">
        <x:v>0.65852</x:v>
      </x:c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 ht="20" customHeight="1">
      <x:c r="A128" s="2"/>
      <x:c r="B128" s="2"/>
      <x:c r="C128" s="26" t="n">
        <x:v>113</x:v>
      </x:c>
      <x:c r="D128" s="28" t="n">
        <x:v>0.691446</x:v>
      </x:c>
      <x:c r="E128" s="28" t="n">
        <x:v>0.691446</x:v>
      </x:c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 ht="20" customHeight="1">
      <x:c r="A129" s="2"/>
      <x:c r="B129" s="2"/>
      <x:c r="C129" s="26" t="n">
        <x:v>114</x:v>
      </x:c>
      <x:c r="D129" s="28" t="n">
        <x:v>0.726018</x:v>
      </x:c>
      <x:c r="E129" s="28" t="n">
        <x:v>0.726018</x:v>
      </x:c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 ht="20" customHeight="1">
      <x:c r="A130" s="2"/>
      <x:c r="B130" s="2"/>
      <x:c r="C130" s="26" t="n">
        <x:v>115</x:v>
      </x:c>
      <x:c r="D130" s="28" t="n">
        <x:v>0.762319</x:v>
      </x:c>
      <x:c r="E130" s="28" t="n">
        <x:v>0.762319</x:v>
      </x:c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 ht="20" customHeight="1">
      <x:c r="A131" s="2"/>
      <x:c r="B131" s="2"/>
      <x:c r="C131" s="26" t="n">
        <x:v>116</x:v>
      </x:c>
      <x:c r="D131" s="28" t="n">
        <x:v>0.800435</x:v>
      </x:c>
      <x:c r="E131" s="28" t="n">
        <x:v>0.800435</x:v>
      </x:c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 ht="20" customHeight="1">
      <x:c r="A132" s="2"/>
      <x:c r="B132" s="2"/>
      <x:c r="C132" s="26" t="n">
        <x:v>117</x:v>
      </x:c>
      <x:c r="D132" s="28" t="n">
        <x:v>0.840457</x:v>
      </x:c>
      <x:c r="E132" s="28" t="n">
        <x:v>0.840457</x:v>
      </x:c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 ht="20" customHeight="1">
      <x:c r="A133" s="2"/>
      <x:c r="B133" s="2"/>
      <x:c r="C133" s="26" t="n">
        <x:v>118</x:v>
      </x:c>
      <x:c r="D133" s="28" t="n">
        <x:v>0.88248</x:v>
      </x:c>
      <x:c r="E133" s="28" t="n">
        <x:v>0.88248</x:v>
      </x:c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 ht="20" customHeight="1">
      <x:c r="A134" s="2"/>
      <x:c r="B134" s="2"/>
      <x:c r="C134" s="26" t="n">
        <x:v>119</x:v>
      </x:c>
      <x:c r="D134" s="28" t="n">
        <x:v>0.926604</x:v>
      </x:c>
      <x:c r="E134" s="28" t="n">
        <x:v>0.926604</x:v>
      </x:c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 ht="20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 ht="20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 ht="20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 ht="20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 ht="20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</x:sheetData>
  <x:conditionalFormatting sqref="I16:I45">
    <x:cfRule type="expression" dxfId="1" priority="1">
      <x:formula>ABS(I16)&gt;0.02</x:formula>
    </x:cfRule>
  </x:conditionalFormatting>
  <x:pageMargins left="0.7" right="0.7" top="0.75" bottom="0.75" header="0.3" footer="0.3"/>
</x:worksheet>
</file>