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cb13b459934f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olicy review" sheetId="1" r:id="R7936c34053d444f0"/>
    <x:sheet xmlns:r="http://schemas.openxmlformats.org/officeDocument/2006/relationships" name="Assumptions" sheetId="2" r:id="Rdc38412442884bbe"/>
    <x:sheet xmlns:r="http://schemas.openxmlformats.org/officeDocument/2006/relationships" name="Statements" sheetId="3" r:id="R155f4139d986422c"/>
    <x:sheet xmlns:r="http://schemas.openxmlformats.org/officeDocument/2006/relationships" name="Audit" sheetId="4" r:id="R65f34043078144c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&quot;FY:&quot;00"/>
    <x:numFmt numFmtId="201" formatCode="#,##0.0;(#,##0.0);&quot;-&quot;"/>
    <x:numFmt numFmtId="202" formatCode="0.0%"/>
    <x:numFmt numFmtId="203" formatCode="0.00&quot;x&quot;"/>
    <x:numFmt numFmtId="204" formatCode="[&gt;=0.005]0.00;[&lt;=-0.005](0.00);0.00"/>
    <x:numFmt numFmtId="205" formatCode="0.0000"/>
  </x:numFmts>
  <x:fonts count="10">
    <x:font>
      <x:sz val="11"/>
      <x:name val="Carlito"/>
    </x:font>
    <x:font>
      <x:sz val="10"/>
      <x:color rgb="FF162B3C"/>
      <x:name val="Arial"/>
    </x:font>
    <x:font>
      <x:b/>
      <x:sz val="14"/>
      <x:color rgb="FF203D57"/>
      <x:name val="Arial"/>
    </x:font>
    <x:font>
      <x:b/>
      <x:sz val="10"/>
      <x:color rgb="FF008000"/>
      <x:name val="Arial"/>
    </x:font>
    <x:font>
      <x:b/>
      <x:sz val="10"/>
      <x:color rgb="FFFFFFFF"/>
      <x:name val="Arial"/>
    </x:font>
    <x:font>
      <x:sz val="10"/>
      <x:color rgb="FF0000FF"/>
      <x:name val="Arial"/>
    </x:font>
    <x:font>
      <x:i/>
      <x:sz val="10"/>
      <x:color rgb="FF162B3C"/>
      <x:name val="Arial"/>
    </x:font>
    <x:font>
      <x:sz val="10"/>
      <x:color rgb="FF008000"/>
      <x:name val="Arial"/>
    </x:font>
    <x:font>
      <x:b/>
      <x:sz val="10"/>
      <x:color rgb="FF162B3C"/>
      <x:name val="Arial"/>
    </x:font>
    <x:font>
      <x:b/>
      <x:sz val="10"/>
      <x:color rgb="FF203D57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3D57"/>
      </x:patternFill>
    </x:fill>
    <x:fill>
      <x:patternFill patternType="solid">
        <x:fgColor rgb="FFEEF2F6"/>
      </x:patternFill>
    </x:fill>
    <x:fill>
      <x:patternFill patternType="solid">
        <x:fgColor rgb="FFF4F7FB"/>
      </x:patternFill>
    </x:fill>
  </x:fills>
  <x:borders count="8">
    <x:border>
      <x:left/>
      <x:right/>
      <x:top/>
      <x:bottom/>
      <x:diagonal/>
    </x:border>
    <x:border>
      <x:left/>
      <x:right/>
      <x:top/>
      <x:bottom style="thin">
        <x:color rgb="FFBAC4CE"/>
      </x:bottom>
      <x:diagonal/>
    </x:border>
    <x:border>
      <x:left style="dotted">
        <x:color rgb="FF8D9CA9"/>
      </x:left>
      <x:right/>
      <x:top style="dotted">
        <x:color rgb="FF8D9CA9"/>
      </x:top>
      <x:bottom style="dotted">
        <x:color rgb="FF8D9CA9"/>
      </x:bottom>
      <x:diagonal/>
    </x:border>
    <x:border>
      <x:left/>
      <x:right/>
      <x:top style="dotted">
        <x:color rgb="FF8D9CA9"/>
      </x:top>
      <x:bottom style="dotted">
        <x:color rgb="FF8D9CA9"/>
      </x:bottom>
      <x:diagonal/>
    </x:border>
    <x:border>
      <x:left/>
      <x:right style="dotted">
        <x:color rgb="FF8D9CA9"/>
      </x:right>
      <x:top style="dotted">
        <x:color rgb="FF8D9CA9"/>
      </x:top>
      <x:bottom style="dotted">
        <x:color rgb="FF8D9CA9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5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3" fillId="0" borderId="2" xfId="0" applyNumberFormat="1" applyFont="1" applyFill="1" applyBorder="1" applyAlignment="1">
      <x:alignment vertical="center"/>
    </x:xf>
    <x:xf numFmtId="0" fontId="3" fillId="0" borderId="2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5" xfId="0" applyNumberFormat="1" applyFont="1" applyFill="1" applyBorder="1" applyAlignment="1">
      <x:alignment vertical="center"/>
    </x:xf>
    <x:xf numFmtId="0" fontId="4" fillId="2" borderId="6" xfId="0" applyNumberFormat="1" applyFont="1" applyFill="1" applyBorder="1" applyAlignment="1">
      <x:alignment vertical="center"/>
    </x:xf>
    <x:xf numFmtId="0" fontId="4" fillId="2" borderId="7" xfId="0" applyNumberFormat="1" applyFont="1" applyFill="1" applyBorder="1" applyAlignment="1">
      <x:alignment vertical="center"/>
    </x:xf>
    <x:xf numFmtId="0" fontId="4" fillId="2" borderId="5" xfId="0" applyNumberFormat="1" applyFont="1" applyFill="1" applyBorder="1" applyAlignment="1">
      <x:alignment vertical="center" wrapText="1"/>
    </x:xf>
    <x:xf numFmtId="0" fontId="4" fillId="2" borderId="6" xfId="0" applyNumberFormat="1" applyFont="1" applyFill="1" applyBorder="1" applyAlignment="1">
      <x:alignment vertical="center" wrapText="1"/>
    </x:xf>
    <x:xf numFmtId="0" fontId="4" fillId="2" borderId="7" xfId="0" applyNumberFormat="1" applyFont="1" applyFill="1" applyBorder="1" applyAlignment="1">
      <x:alignment vertical="center" wrapText="1"/>
    </x:xf>
    <x:xf numFmtId="0" fontId="4" fillId="2" borderId="5" xfId="0" applyNumberFormat="1" applyFont="1" applyFill="1" applyBorder="1" applyAlignment="1">
      <x:alignment horizontal="center" vertical="center" wrapText="1"/>
    </x:xf>
    <x:xf numFmtId="0" fontId="4" fillId="2" borderId="6" xfId="0" applyNumberFormat="1" applyFont="1" applyFill="1" applyBorder="1" applyAlignment="1">
      <x:alignment horizontal="center" vertical="center" wrapText="1"/>
    </x:xf>
    <x:xf numFmtId="0" fontId="4" fillId="2" borderId="7" xfId="0" applyNumberFormat="1" applyFont="1" applyFill="1" applyBorder="1" applyAlignment="1">
      <x:alignment horizontal="center" vertical="center" wrapText="1"/>
    </x:xf>
    <x:xf numFmtId="200" fontId="4" fillId="2" borderId="6" xfId="0" applyNumberFormat="1" applyFont="1" applyFill="1" applyBorder="1" applyAlignment="1">
      <x:alignment horizontal="center" vertical="center" wrapText="1"/>
    </x:xf>
    <x:xf numFmtId="200" fontId="4" fillId="2" borderId="7" xfId="0" applyNumberFormat="1" applyFont="1" applyFill="1" applyBorder="1" applyAlignment="1">
      <x:alignment horizontal="center"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horizontal="right" vertical="center"/>
    </x:xf>
    <x:xf numFmtId="203" fontId="1" fillId="0" borderId="0" xfId="0" applyNumberFormat="1" applyFont="1" applyFill="1" applyBorder="1" applyAlignment="1">
      <x:alignment horizontal="right" vertical="center"/>
    </x:xf>
    <x:xf numFmtId="0" fontId="6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horizontal="right" vertical="center"/>
    </x:xf>
    <x:xf numFmtId="203" fontId="6" fillId="0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4" fontId="1" fillId="0" borderId="0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202" fontId="5" fillId="4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1" fontId="7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201" fontId="8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vertical="center"/>
    </x:xf>
    <x:xf numFmtId="203" fontId="6" fillId="0" borderId="0" xfId="0" applyNumberFormat="1" applyFont="1" applyFill="1" applyBorder="1" applyAlignment="1">
      <x:alignment vertical="center"/>
    </x:xf>
    <x:xf numFmtId="0" fontId="9" fillId="3" borderId="0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horizontal="right" vertical="center"/>
    </x:xf>
    <x:xf numFmtId="204" fontId="1" fillId="0" borderId="0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5">
    <x:dxf>
      <x:font>
        <x:b/>
        <x:color rgb="FF9C0006"/>
      </x:font>
      <x:fill>
        <x:patternFill patternType="solid">
          <x:bgColor rgb="FFFCE8E6"/>
        </x:patternFill>
      </x:fill>
    </x:dxf>
    <x:dxf>
      <x:font>
        <x:b/>
        <x:color rgb="FF9C0006"/>
      </x:font>
      <x:fill>
        <x:patternFill patternType="solid">
          <x:bgColor rgb="FFFCE8E6"/>
        </x:patternFill>
      </x:fill>
    </x:dxf>
    <x:dxf>
      <x:font>
        <x:b/>
        <x:color rgb="FF9C0006"/>
      </x:font>
      <x:fill>
        <x:patternFill patternType="solid">
          <x:bgColor rgb="FFFCE8E6"/>
        </x:patternFill>
      </x:fill>
    </x:dxf>
    <x:dxf>
      <x:font>
        <x:b/>
        <x:color rgb="FF9C0006"/>
      </x:font>
      <x:fill>
        <x:patternFill patternType="solid">
          <x:bgColor rgb="FFFCE8E6"/>
        </x:patternFill>
      </x:fill>
    </x:dxf>
    <x:dxf>
      <x:font>
        <x:b/>
        <x:color rgb="FF9C0006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23121dc6f34fca" /><Relationship Type="http://schemas.openxmlformats.org/officeDocument/2006/relationships/theme" Target="/xl/theme/theme1.xml" Id="Rf06f306baf5149e6" /><Relationship Type="http://schemas.openxmlformats.org/officeDocument/2006/relationships/sharedStrings" Target="/xl/sharedStrings.xml" Id="Re742c43caf63486b" /><Relationship Type="http://schemas.openxmlformats.org/officeDocument/2006/relationships/worksheet" Target="/xl/worksheets/sheet1.xml" Id="R7936c34053d444f0" /><Relationship Type="http://schemas.openxmlformats.org/officeDocument/2006/relationships/worksheet" Target="/xl/worksheets/sheet2.xml" Id="Rdc38412442884bbe" /><Relationship Type="http://schemas.openxmlformats.org/officeDocument/2006/relationships/worksheet" Target="/xl/worksheets/sheet3.xml" Id="R155f4139d986422c" /><Relationship Type="http://schemas.openxmlformats.org/officeDocument/2006/relationships/worksheet" Target="/xl/worksheets/sheet4.xml" Id="R65f34043078144c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03D57"/>
  </x:sheetPr>
  <x:sheetViews>
    <x:sheetView showGridLines="0" workbookViewId="0"/>
  </x:sheetViews>
  <x:sheetFormatPr defaultRowHeight="15"/>
  <x:cols>
    <x:col min="1" max="1" width="2" hidden="0" customWidth="1"/>
    <x:col min="2" max="2" width="2" hidden="0" customWidth="1"/>
    <x:col min="3" max="3" width="44" hidden="0" customWidth="1"/>
    <x:col min="4" max="4" width="17" hidden="0" customWidth="1"/>
    <x:col min="5" max="5" width="17" hidden="0" customWidth="1"/>
    <x:col min="6" max="6" width="21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1" customHeight="1">
      <x:c r="A2" s="2"/>
      <x:c r="B2" s="2"/>
      <x:c r="C2" s="4" t="str">
        <x:v>Growth funding and operating-policy value</x:v>
      </x:c>
      <x:c r="D2" s="5"/>
      <x:c r="E2" s="5"/>
      <x:c r="F2" s="5"/>
      <x:c r="G2" s="5"/>
      <x:c r="H2" s="5"/>
      <x:c r="I2" s="5"/>
      <x:c r="J2" s="5"/>
      <x:c r="K2" s="5"/>
    </x:row>
    <x:row r="3" ht="21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1" customHeight="1">
      <x:c r="A4" s="2"/>
      <x:c r="B4" s="2"/>
      <x:c r="C4" s="2" t="str">
        <x:v>Case selected</x:v>
      </x:c>
      <x:c r="D4" s="10" t="str">
        <x:f>'Assumptions'!D6</x:f>
        <x:v>2 MSFT reference</x:v>
      </x:c>
      <x:c r="E4" s="7"/>
      <x:c r="F4" s="8"/>
      <x:c r="G4" s="2"/>
      <x:c r="H4" s="2"/>
      <x:c r="I4" s="2"/>
      <x:c r="J4" s="2"/>
      <x:c r="K4" s="2"/>
    </x:row>
    <x:row r="5" ht="21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1" customHeight="1">
      <x:c r="A6" s="2"/>
      <x:c r="B6" s="2"/>
      <x:c r="C6" s="45" t="str">
        <x:v>Operating-policy value (USDm)</x:v>
      </x:c>
      <x:c r="D6" s="46" t="n">
        <x:f>-D7+D8+D9</x:f>
        <x:v>1316560.3705399348</x:v>
      </x:c>
      <x:c r="E6" s="2"/>
      <x:c r="F6" s="2" t="str">
        <x:v>Conditional operating policy before financing/nonoperating adjustments.</x:v>
      </x:c>
      <x:c r="G6" s="2"/>
      <x:c r="H6" s="2"/>
      <x:c r="I6" s="2"/>
      <x:c r="J6" s="2"/>
      <x:c r="K6" s="2"/>
    </x:row>
    <x:row r="7" ht="21" customHeight="1">
      <x:c r="A7" s="2"/>
      <x:c r="B7" s="2"/>
      <x:c r="C7" s="2" t="str">
        <x:v>Immediate growth investment</x:v>
      </x:c>
      <x:c r="D7" s="24" t="n">
        <x:f>H21</x:f>
        <x:v>53553.333333333365</x:v>
      </x:c>
      <x:c r="E7" s="2"/>
      <x:c r="F7" s="2"/>
      <x:c r="G7" s="2"/>
      <x:c r="H7" s="2"/>
      <x:c r="I7" s="2"/>
      <x:c r="J7" s="2"/>
      <x:c r="K7" s="2"/>
    </x:row>
    <x:row r="8" ht="21" customHeight="1">
      <x:c r="A8" s="2"/>
      <x:c r="B8" s="2"/>
      <x:c r="C8" s="2" t="str">
        <x:v>Year 1–10 cash-flow PV</x:v>
      </x:c>
      <x:c r="D8" s="24" t="n">
        <x:f>SUM(K22:K31)</x:f>
        <x:v>524594.0080493954</x:v>
      </x:c>
      <x:c r="E8" s="2"/>
      <x:c r="F8" s="2" t="str">
        <x:v>Immediate investment funds first-year growth.</x:v>
      </x:c>
      <x:c r="G8" s="2"/>
      <x:c r="H8" s="2"/>
      <x:c r="I8" s="2"/>
      <x:c r="J8" s="2"/>
      <x:c r="K8" s="2"/>
    </x:row>
    <x:row r="9" ht="21" customHeight="1">
      <x:c r="A9" s="2"/>
      <x:c r="B9" s="2"/>
      <x:c r="C9" s="2" t="str">
        <x:v>Terminal present value</x:v>
      </x:c>
      <x:c r="D9" s="24" t="n">
        <x:f>D36/J31</x:f>
        <x:v>845519.6958238728</x:v>
      </x:c>
      <x:c r="E9" s="2"/>
      <x:c r="F9" s="2"/>
      <x:c r="G9" s="2"/>
      <x:c r="H9" s="2"/>
      <x:c r="I9" s="2"/>
      <x:c r="J9" s="2"/>
      <x:c r="K9" s="2"/>
    </x:row>
    <x:row r="10" ht="21" customHeight="1">
      <x:c r="A10" s="2"/>
      <x:c r="B10" s="2"/>
      <x:c r="C10" s="2" t="str">
        <x:v>No-growth cash-return reference</x:v>
      </x:c>
      <x:c r="D10" s="24" t="n">
        <x:f>E21/'Assumptions'!$D$12</x:f>
        <x:v>963960</x:v>
      </x:c>
      <x:c r="E10" s="2"/>
      <x:c r="F10" s="2" t="str">
        <x:v>Reported EBIT basis retained; no market price or equity target.</x:v>
      </x:c>
      <x:c r="G10" s="2"/>
      <x:c r="H10" s="2"/>
      <x:c r="I10" s="2"/>
      <x:c r="J10" s="2"/>
      <x:c r="K10" s="2"/>
    </x:row>
    <x:row r="11" ht="21" customHeight="1">
      <x:c r="A11" s="2"/>
      <x:c r="B11" s="2"/>
      <x:c r="C11" s="31" t="str">
        <x:v>Value versus no-growth reference</x:v>
      </x:c>
      <x:c r="D11" s="47" t="n">
        <x:f>IF(D10=0,"n.a.",D6/D10-1)</x:f>
        <x:v>0.3657831969583125</x:v>
      </x:c>
      <x:c r="E11" s="2"/>
      <x:c r="F11" s="2"/>
      <x:c r="G11" s="2"/>
      <x:c r="H11" s="2"/>
      <x:c r="I11" s="2"/>
      <x:c r="J11" s="2"/>
      <x:c r="K11" s="2"/>
    </x:row>
    <x:row r="12" ht="21" customHeight="1">
      <x:c r="A12" s="2"/>
      <x:c r="B12" s="2"/>
      <x:c r="C12" s="31" t="str">
        <x:v>Terminal share of net value</x:v>
      </x:c>
      <x:c r="D12" s="47" t="n">
        <x:f>IF(ABS(D6)&lt;0.000000000001,"n.a.",D9/D6)</x:f>
        <x:v>0.6422187046972381</x:v>
      </x:c>
      <x:c r="E12" s="2"/>
      <x:c r="F12" s="2" t="str">
        <x:v>Terminal share can exceed 100% when earlier cash flows are negative.</x:v>
      </x:c>
      <x:c r="G12" s="2"/>
      <x:c r="H12" s="2"/>
      <x:c r="I12" s="2"/>
      <x:c r="J12" s="2"/>
      <x:c r="K12" s="2"/>
    </x:row>
    <x:row r="13" ht="21" customHeight="1">
      <x:c r="A13" s="2"/>
      <x:c r="B13" s="2"/>
      <x:c r="C13" s="31" t="str">
        <x:v>Value / base normalised NOPAT</x:v>
      </x:c>
      <x:c r="D13" s="48" t="n">
        <x:f>IF(E21=0,"n.a.",D6/E21)</x:f>
        <x:v>13.657831969583125</x:v>
      </x:c>
      <x:c r="E13" s="2"/>
      <x:c r="F13" s="2"/>
      <x:c r="G13" s="2"/>
      <x:c r="H13" s="2"/>
      <x:c r="I13" s="2"/>
      <x:c r="J13" s="2"/>
      <x:c r="K13" s="2"/>
    </x:row>
    <x:row r="14" ht="21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</x:row>
    <x:row r="15" ht="21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</x:row>
    <x:row r="16" ht="21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</x:row>
    <x:row r="17" ht="21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</x:row>
    <x:row r="18" ht="24" customHeight="1">
      <x:c r="A18" s="2"/>
      <x:c r="B18" s="2"/>
      <x:c r="C18" s="49" t="str">
        <x:v>Annual policy schedule (USD millions)</x:v>
      </x:c>
      <x:c r="D18" s="49"/>
      <x:c r="E18" s="49"/>
      <x:c r="F18" s="49"/>
      <x:c r="G18" s="49"/>
      <x:c r="H18" s="49"/>
      <x:c r="I18" s="49"/>
      <x:c r="J18" s="49"/>
      <x:c r="K18" s="49"/>
    </x:row>
    <x:row r="19" ht="21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</x:row>
    <x:row r="20" ht="36" customHeight="1">
      <x:c r="A20" s="2"/>
      <x:c r="B20" s="2"/>
      <x:c r="C20" s="19" t="str">
        <x:v>Year</x:v>
      </x:c>
      <x:c r="D20" s="20" t="str">
        <x:v>Profit growth</x:v>
      </x:c>
      <x:c r="E20" s="20" t="str">
        <x:v>Normalised NOPAT</x:v>
      </x:c>
      <x:c r="F20" s="20" t="str">
        <x:v>Marginal ROIC</x:v>
      </x:c>
      <x:c r="G20" s="20" t="str">
        <x:v>Next-year NOPAT</x:v>
      </x:c>
      <x:c r="H20" s="20" t="str">
        <x:v>Net investment</x:v>
      </x:c>
      <x:c r="I20" s="20" t="str">
        <x:v>Policy cash flow</x:v>
      </x:c>
      <x:c r="J20" s="20" t="str">
        <x:v>Discount divisor</x:v>
      </x:c>
      <x:c r="K20" s="21" t="str">
        <x:v>Present value</x:v>
      </x:c>
    </x:row>
    <x:row r="21" ht="21" customHeight="1">
      <x:c r="A21" s="2"/>
      <x:c r="B21" s="2"/>
      <x:c r="C21" s="28" t="n">
        <x:v>0</x:v>
      </x:c>
      <x:c r="D21" s="29" t="str">
        <x:v>n.a.</x:v>
      </x:c>
      <x:c r="E21" s="34" t="n">
        <x:f>'Assumptions'!$D$14*(1-'Assumptions'!$D$13)</x:f>
        <x:v>96396</x:v>
      </x:c>
      <x:c r="F21" s="29" t="n">
        <x:f>'Assumptions'!$D$9</x:f>
        <x:v>0.18</x:v>
      </x:c>
      <x:c r="G21" s="34" t="n">
        <x:f>E22</x:f>
        <x:v>106035.6</x:v>
      </x:c>
      <x:c r="H21" s="34" t="n">
        <x:f>(G21-E21)/F21</x:f>
        <x:v>53553.333333333365</x:v>
      </x:c>
      <x:c r="I21" s="34" t="n">
        <x:f>-H21</x:f>
        <x:v>-53553.333333333365</x:v>
      </x:c>
      <x:c r="J21" s="50" t="n">
        <x:f>(1+'Assumptions'!$D$12)^C21</x:f>
        <x:v>1</x:v>
      </x:c>
      <x:c r="K21" s="34" t="n">
        <x:f>I21/J21</x:f>
        <x:v>-53553.333333333365</x:v>
      </x:c>
    </x:row>
    <x:row r="22" ht="21" customHeight="1">
      <x:c r="A22" s="2"/>
      <x:c r="B22" s="2"/>
      <x:c r="C22" s="28" t="n">
        <x:v>1</x:v>
      </x:c>
      <x:c r="D22" s="29" t="n">
        <x:f>'Assumptions'!$D$8</x:f>
        <x:v>0.1</x:v>
      </x:c>
      <x:c r="E22" s="34" t="n">
        <x:f>E21*(1+D22)</x:f>
        <x:v>106035.6</x:v>
      </x:c>
      <x:c r="F22" s="29" t="n">
        <x:f>'Assumptions'!$D$9</x:f>
        <x:v>0.18</x:v>
      </x:c>
      <x:c r="G22" s="34" t="n">
        <x:f>E23</x:f>
        <x:v>116639.16000000002</x:v>
      </x:c>
      <x:c r="H22" s="34" t="n">
        <x:f>(G22-E22)/F22</x:f>
        <x:v>58908.66666666674</x:v>
      </x:c>
      <x:c r="I22" s="34" t="n">
        <x:f>E22-H22</x:f>
        <x:v>47126.93333333327</x:v>
      </x:c>
      <x:c r="J22" s="50" t="n">
        <x:f>(1+'Assumptions'!$D$12)^C22</x:f>
        <x:v>1.1</x:v>
      </x:c>
      <x:c r="K22" s="34" t="n">
        <x:f>I22/J22</x:f>
        <x:v>42842.666666666606</x:v>
      </x:c>
    </x:row>
    <x:row r="23" ht="21" customHeight="1">
      <x:c r="A23" s="2"/>
      <x:c r="B23" s="2"/>
      <x:c r="C23" s="28" t="n">
        <x:v>2</x:v>
      </x:c>
      <x:c r="D23" s="29" t="n">
        <x:f>'Assumptions'!$D$8</x:f>
        <x:v>0.1</x:v>
      </x:c>
      <x:c r="E23" s="34" t="n">
        <x:f>E22*(1+D23)</x:f>
        <x:v>116639.16000000002</x:v>
      </x:c>
      <x:c r="F23" s="29" t="n">
        <x:f>'Assumptions'!$D$9</x:f>
        <x:v>0.18</x:v>
      </x:c>
      <x:c r="G23" s="34" t="n">
        <x:f>E24</x:f>
        <x:v>128303.07600000003</x:v>
      </x:c>
      <x:c r="H23" s="34" t="n">
        <x:f>(G23-E23)/F23</x:f>
        <x:v>64799.533333333406</x:v>
      </x:c>
      <x:c r="I23" s="34" t="n">
        <x:f>E23-H23</x:f>
        <x:v>51839.62666666661</x:v>
      </x:c>
      <x:c r="J23" s="50" t="n">
        <x:f>(1+'Assumptions'!$D$12)^C23</x:f>
        <x:v>1.2100000000000002</x:v>
      </x:c>
      <x:c r="K23" s="34" t="n">
        <x:f>I23/J23</x:f>
        <x:v>42842.66666666661</x:v>
      </x:c>
    </x:row>
    <x:row r="24" ht="21" customHeight="1">
      <x:c r="A24" s="2"/>
      <x:c r="B24" s="2"/>
      <x:c r="C24" s="28" t="n">
        <x:v>3</x:v>
      </x:c>
      <x:c r="D24" s="29" t="n">
        <x:f>'Assumptions'!$D$8</x:f>
        <x:v>0.1</x:v>
      </x:c>
      <x:c r="E24" s="34" t="n">
        <x:f>E23*(1+D24)</x:f>
        <x:v>128303.07600000003</x:v>
      </x:c>
      <x:c r="F24" s="29" t="n">
        <x:f>'Assumptions'!$D$9</x:f>
        <x:v>0.18</x:v>
      </x:c>
      <x:c r="G24" s="34" t="n">
        <x:f>E25</x:f>
        <x:v>141133.38360000003</x:v>
      </x:c>
      <x:c r="H24" s="34" t="n">
        <x:f>(G24-E24)/F24</x:f>
        <x:v>71279.48666666666</x:v>
      </x:c>
      <x:c r="I24" s="34" t="n">
        <x:f>E24-H24</x:f>
        <x:v>57023.589333333366</x:v>
      </x:c>
      <x:c r="J24" s="50" t="n">
        <x:f>(1+'Assumptions'!$D$12)^C24</x:f>
        <x:v>1.3310000000000004</x:v>
      </x:c>
      <x:c r="K24" s="34" t="n">
        <x:f>I24/J24</x:f>
        <x:v>42842.66666666668</x:v>
      </x:c>
    </x:row>
    <x:row r="25" ht="21" customHeight="1">
      <x:c r="A25" s="2"/>
      <x:c r="B25" s="2"/>
      <x:c r="C25" s="28" t="n">
        <x:v>4</x:v>
      </x:c>
      <x:c r="D25" s="29" t="n">
        <x:f>'Assumptions'!$D$8</x:f>
        <x:v>0.1</x:v>
      </x:c>
      <x:c r="E25" s="34" t="n">
        <x:f>E24*(1+D25)</x:f>
        <x:v>141133.38360000003</x:v>
      </x:c>
      <x:c r="F25" s="29" t="n">
        <x:f>'Assumptions'!$D$9</x:f>
        <x:v>0.18</x:v>
      </x:c>
      <x:c r="G25" s="34" t="n">
        <x:f>E26</x:f>
        <x:v>155246.72196000005</x:v>
      </x:c>
      <x:c r="H25" s="34" t="n">
        <x:f>(G25-E25)/F25</x:f>
        <x:v>78407.43533333347</x:v>
      </x:c>
      <x:c r="I25" s="34" t="n">
        <x:f>E25-H25</x:f>
        <x:v>62725.94826666656</x:v>
      </x:c>
      <x:c r="J25" s="50" t="n">
        <x:f>(1+'Assumptions'!$D$12)^C25</x:f>
        <x:v>1.4641000000000004</x:v>
      </x:c>
      <x:c r="K25" s="34" t="n">
        <x:f>I25/J25</x:f>
        <x:v>42842.66666666658</x:v>
      </x:c>
    </x:row>
    <x:row r="26" ht="21" customHeight="1">
      <x:c r="A26" s="2"/>
      <x:c r="B26" s="2"/>
      <x:c r="C26" s="28" t="n">
        <x:v>5</x:v>
      </x:c>
      <x:c r="D26" s="29" t="n">
        <x:f>'Assumptions'!$D$8</x:f>
        <x:v>0.1</x:v>
      </x:c>
      <x:c r="E26" s="34" t="n">
        <x:f>E25*(1+D26)</x:f>
        <x:v>155246.72196000005</x:v>
      </x:c>
      <x:c r="F26" s="29" t="n">
        <x:f>'Assumptions'!$D$9+('Assumptions'!$D$10-'Assumptions'!$D$9)*(5-4)/6</x:f>
        <x:v>0.16999999999999998</x:v>
      </x:c>
      <x:c r="G26" s="34" t="n">
        <x:f>E27</x:f>
        <x:v>168442.69332660004</x:v>
      </x:c>
      <x:c r="H26" s="34" t="n">
        <x:f>(G26-E26)/F26</x:f>
        <x:v>77623.36097999994</x:v>
      </x:c>
      <x:c r="I26" s="34" t="n">
        <x:f>E26-H26</x:f>
        <x:v>77623.36098000011</x:v>
      </x:c>
      <x:c r="J26" s="50" t="n">
        <x:f>(1+'Assumptions'!$D$12)^C26</x:f>
        <x:v>1.6105100000000006</x:v>
      </x:c>
      <x:c r="K26" s="34" t="n">
        <x:f>I26/J26</x:f>
        <x:v>48198.00000000005</x:v>
      </x:c>
    </x:row>
    <x:row r="27" ht="21" customHeight="1">
      <x:c r="A27" s="2"/>
      <x:c r="B27" s="2"/>
      <x:c r="C27" s="28" t="n">
        <x:v>6</x:v>
      </x:c>
      <x:c r="D27" s="29" t="n">
        <x:f>'Assumptions'!$D$8+('Assumptions'!$D$11-'Assumptions'!$D$8)*(6-5)/5</x:f>
        <x:v>0.085</x:v>
      </x:c>
      <x:c r="E27" s="34" t="n">
        <x:f>E26*(1+D27)</x:f>
        <x:v>168442.69332660004</x:v>
      </x:c>
      <x:c r="F27" s="29" t="n">
        <x:f>'Assumptions'!$D$9+('Assumptions'!$D$10-'Assumptions'!$D$9)*(6-4)/6</x:f>
        <x:v>0.16</x:v>
      </x:c>
      <x:c r="G27" s="34" t="n">
        <x:f>E28</x:f>
        <x:v>180233.68185946206</x:v>
      </x:c>
      <x:c r="H27" s="34" t="n">
        <x:f>(G27-E27)/F27</x:f>
        <x:v>73693.67833038759</x:v>
      </x:c>
      <x:c r="I27" s="34" t="n">
        <x:f>E27-H27</x:f>
        <x:v>94749.01499621246</x:v>
      </x:c>
      <x:c r="J27" s="50" t="n">
        <x:f>(1+'Assumptions'!$D$12)^C27</x:f>
        <x:v>1.7715610000000008</x:v>
      </x:c>
      <x:c r="K27" s="34" t="n">
        <x:f>I27/J27</x:f>
        <x:v>53483.34886363631</x:v>
      </x:c>
    </x:row>
    <x:row r="28" ht="21" customHeight="1">
      <x:c r="A28" s="2"/>
      <x:c r="B28" s="2"/>
      <x:c r="C28" s="28" t="n">
        <x:v>7</x:v>
      </x:c>
      <x:c r="D28" s="29" t="n">
        <x:f>'Assumptions'!$D$8+('Assumptions'!$D$11-'Assumptions'!$D$8)*(7-5)/5</x:f>
        <x:v>0.07</x:v>
      </x:c>
      <x:c r="E28" s="34" t="n">
        <x:f>E27*(1+D28)</x:f>
        <x:v>180233.68185946206</x:v>
      </x:c>
      <x:c r="F28" s="29" t="n">
        <x:f>'Assumptions'!$D$9+('Assumptions'!$D$10-'Assumptions'!$D$9)*(7-4)/6</x:f>
        <x:v>0.15</x:v>
      </x:c>
      <x:c r="G28" s="34" t="n">
        <x:f>E29</x:f>
        <x:v>190146.53436173245</x:v>
      </x:c>
      <x:c r="H28" s="34" t="n">
        <x:f>(G28-E28)/F28</x:f>
        <x:v>66085.68334846932</x:v>
      </x:c>
      <x:c r="I28" s="34" t="n">
        <x:f>E28-H28</x:f>
        <x:v>114147.99851099274</x:v>
      </x:c>
      <x:c r="J28" s="50" t="n">
        <x:f>(1+'Assumptions'!$D$12)^C28</x:f>
        <x:v>1.9487171000000012</x:v>
      </x:c>
      <x:c r="K28" s="34" t="n">
        <x:f>I28/J28</x:f>
        <x:v>58575.97211570251</x:v>
      </x:c>
    </x:row>
    <x:row r="29" ht="21" customHeight="1">
      <x:c r="A29" s="2"/>
      <x:c r="B29" s="2"/>
      <x:c r="C29" s="28" t="n">
        <x:v>8</x:v>
      </x:c>
      <x:c r="D29" s="29" t="n">
        <x:f>'Assumptions'!$D$8+('Assumptions'!$D$11-'Assumptions'!$D$8)*(8-5)/5</x:f>
        <x:v>0.055</x:v>
      </x:c>
      <x:c r="E29" s="34" t="n">
        <x:f>E28*(1+D29)</x:f>
        <x:v>190146.53436173245</x:v>
      </x:c>
      <x:c r="F29" s="29" t="n">
        <x:f>'Assumptions'!$D$9+('Assumptions'!$D$10-'Assumptions'!$D$9)*(8-4)/6</x:f>
        <x:v>0.13999999999999999</x:v>
      </x:c>
      <x:c r="G29" s="34" t="n">
        <x:f>E30</x:f>
        <x:v>197752.39573620175</x:v>
      </x:c>
      <x:c r="H29" s="34" t="n">
        <x:f>(G29-E29)/F29</x:f>
        <x:v>54327.58124620929</x:v>
      </x:c>
      <x:c r="I29" s="34" t="n">
        <x:f>E29-H29</x:f>
        <x:v>135818.95311552315</x:v>
      </x:c>
      <x:c r="J29" s="50" t="n">
        <x:f>(1+'Assumptions'!$D$12)^C29</x:f>
        <x:v>2.1435888100000016</x:v>
      </x:c>
      <x:c r="K29" s="34" t="n">
        <x:f>I29/J29</x:f>
        <x:v>63360.544000751266</x:v>
      </x:c>
    </x:row>
    <x:row r="30" ht="21" customHeight="1">
      <x:c r="A30" s="2"/>
      <x:c r="B30" s="2"/>
      <x:c r="C30" s="28" t="n">
        <x:v>9</x:v>
      </x:c>
      <x:c r="D30" s="29" t="n">
        <x:f>'Assumptions'!$D$8+('Assumptions'!$D$11-'Assumptions'!$D$8)*(9-5)/5</x:f>
        <x:v>0.039999999999999994</x:v>
      </x:c>
      <x:c r="E30" s="34" t="n">
        <x:f>E29*(1+D30)</x:f>
        <x:v>197752.39573620175</x:v>
      </x:c>
      <x:c r="F30" s="29" t="n">
        <x:f>'Assumptions'!$D$9+('Assumptions'!$D$10-'Assumptions'!$D$9)*(9-4)/6</x:f>
        <x:v>0.13</x:v>
      </x:c>
      <x:c r="G30" s="34" t="n">
        <x:f>E31</x:f>
        <x:v>202696.2056296068</x:v>
      </x:c>
      <x:c r="H30" s="34" t="n">
        <x:f>(G30-E30)/F30</x:f>
        <x:v>38029.30687234643</x:v>
      </x:c>
      <x:c r="I30" s="34" t="n">
        <x:f>E30-H30</x:f>
        <x:v>159723.08886385532</x:v>
      </x:c>
      <x:c r="J30" s="50" t="n">
        <x:f>(1+'Assumptions'!$D$12)^C30</x:f>
        <x:v>2.357947691000002</x:v>
      </x:c>
      <x:c r="K30" s="34" t="n">
        <x:f>I30/J30</x:f>
        <x:v>67738.18158625775</x:v>
      </x:c>
    </x:row>
    <x:row r="31" ht="21" customHeight="1">
      <x:c r="A31" s="2"/>
      <x:c r="B31" s="2"/>
      <x:c r="C31" s="28" t="n">
        <x:v>10</x:v>
      </x:c>
      <x:c r="D31" s="29" t="n">
        <x:f>'Assumptions'!$D$8+('Assumptions'!$D$11-'Assumptions'!$D$8)*(10-5)/5</x:f>
        <x:v>0.024999999999999994</x:v>
      </x:c>
      <x:c r="E31" s="34" t="n">
        <x:f>E30*(1+D31)</x:f>
        <x:v>202696.2056296068</x:v>
      </x:c>
      <x:c r="F31" s="29" t="n">
        <x:f>'Assumptions'!$D$9+('Assumptions'!$D$10-'Assumptions'!$D$9)*(10-4)/6</x:f>
        <x:v>0.12</x:v>
      </x:c>
      <x:c r="G31" s="34" t="n">
        <x:f>E31*(1+'Assumptions'!$D$11)</x:f>
        <x:v>207763.61077034695</x:v>
      </x:c>
      <x:c r="H31" s="34" t="n">
        <x:f>(G31-E31)/F31</x:f>
        <x:v>42228.37617283464</x:v>
      </x:c>
      <x:c r="I31" s="34" t="n">
        <x:f>E31-H31</x:f>
        <x:v>160467.82945677213</x:v>
      </x:c>
      <x:c r="J31" s="50" t="n">
        <x:f>(1+'Assumptions'!$D$12)^C31</x:f>
        <x:v>2.5937424601000023</x:v>
      </x:c>
      <x:c r="K31" s="34" t="n">
        <x:f>I31/J31</x:f>
        <x:v>61867.294816380985</x:v>
      </x:c>
    </x:row>
    <x:row r="32" ht="21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</x:row>
    <x:row r="33" ht="21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</x:row>
    <x:row r="34" ht="21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</x:row>
    <x:row r="35" ht="21" customHeight="1">
      <x:c r="A35" s="2"/>
      <x:c r="B35" s="2"/>
      <x:c r="C35" s="2" t="str">
        <x:v>Terminal year-11 policy cash</x:v>
      </x:c>
      <x:c r="D35" s="24" t="n">
        <x:f>G31*(1-'Assumptions'!$D$11/'Assumptions'!$D$10)</x:f>
        <x:v>164479.52519319134</x:v>
      </x:c>
      <x:c r="E35" s="2"/>
      <x:c r="F35" s="2"/>
      <x:c r="G35" s="2"/>
      <x:c r="H35" s="2"/>
      <x:c r="I35" s="2"/>
      <x:c r="J35" s="2"/>
      <x:c r="K35" s="2"/>
    </x:row>
    <x:row r="36" ht="21" customHeight="1">
      <x:c r="A36" s="2"/>
      <x:c r="B36" s="2"/>
      <x:c r="C36" s="2" t="str">
        <x:v>Terminal value at year 10</x:v>
      </x:c>
      <x:c r="D36" s="24" t="n">
        <x:f>D35/('Assumptions'!$D$12-'Assumptions'!$D$11)</x:f>
        <x:v>2193060.3359092176</x:v>
      </x:c>
      <x:c r="E36" s="2"/>
      <x:c r="F36" s="2"/>
      <x:c r="G36" s="2"/>
      <x:c r="H36" s="2"/>
      <x:c r="I36" s="2"/>
      <x:c r="J36" s="2"/>
      <x:c r="K36" s="2"/>
    </x:row>
    <x:row r="37" ht="21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</x:row>
    <x:row r="38" ht="21" customHeight="1">
      <x:c r="A38" s="2"/>
      <x:c r="B38" s="2"/>
      <x:c r="C38" s="2" t="str">
        <x:v>Net investment is a scenario funding requirement, not reported cash PPE or a forecast of observed FCFF.</x:v>
      </x:c>
      <x:c r="D38" s="2"/>
      <x:c r="E38" s="2"/>
      <x:c r="F38" s="2"/>
      <x:c r="G38" s="2"/>
      <x:c r="H38" s="2"/>
      <x:c r="I38" s="2"/>
      <x:c r="J38" s="2"/>
      <x:c r="K38" s="2"/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6C8398"/>
  </x:sheetPr>
  <x:sheetViews>
    <x:sheetView showGridLines="0" workbookViewId="0"/>
  </x:sheetViews>
  <x:sheetFormatPr defaultRowHeight="15"/>
  <x:cols>
    <x:col min="1" max="1" width="2" hidden="0" customWidth="1"/>
    <x:col min="2" max="2" width="2" hidden="0" customWidth="1"/>
    <x:col min="3" max="3" width="44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1" customHeight="1">
      <x:c r="A2" s="2"/>
      <x:c r="B2" s="2"/>
      <x:c r="C2" s="4" t="str">
        <x:v>Operating-policy assumptions</x:v>
      </x:c>
      <x:c r="D2" s="5"/>
      <x:c r="E2" s="5"/>
      <x:c r="F2" s="5"/>
      <x:c r="G2" s="5"/>
      <x:c r="H2" s="5"/>
      <x:c r="I2" s="5"/>
      <x:c r="J2" s="5"/>
      <x:c r="K2" s="5"/>
      <x:c r="L2" s="5"/>
    </x:row>
    <x:row r="3" ht="21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21" customHeight="1">
      <x:c r="A4" s="2"/>
      <x:c r="B4" s="2"/>
      <x:c r="C4" s="2" t="str">
        <x:v>Case number (1–9)</x:v>
      </x:c>
      <x:c r="D4" s="37" t="n">
        <x:v>2</x:v>
      </x:c>
      <x:c r="E4" s="2"/>
      <x:c r="F4" s="2"/>
      <x:c r="G4" s="2"/>
      <x:c r="H4" s="2"/>
      <x:c r="I4" s="2"/>
      <x:c r="J4" s="2"/>
      <x:c r="K4" s="2"/>
      <x:c r="L4" s="2"/>
    </x:row>
    <x:row r="5" ht="21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21" customHeight="1">
      <x:c r="A6" s="2"/>
      <x:c r="B6" s="2"/>
      <x:c r="C6" s="2" t="str">
        <x:v>Case selected</x:v>
      </x:c>
      <x:c r="D6" s="38" t="str">
        <x:f>IF(AND(ISNUMBER(D4),D4=INT(D4),D4&gt;=1,D4&lt;=9),INDEX($D$18:$L$18,1,D4),NA())</x:f>
        <x:v>2 MSFT reference</x:v>
      </x:c>
      <x:c r="E6" s="2"/>
      <x:c r="F6" s="2"/>
      <x:c r="G6" s="2"/>
      <x:c r="H6" s="2"/>
      <x:c r="I6" s="2"/>
      <x:c r="J6" s="2"/>
      <x:c r="K6" s="2"/>
      <x:c r="L6" s="2"/>
    </x:row>
    <x:row r="7" ht="36" customHeight="1">
      <x:c r="A7" s="2"/>
      <x:c r="B7" s="2"/>
      <x:c r="C7" s="19" t="str">
        <x:v>Driver</x:v>
      </x:c>
      <x:c r="D7" s="21" t="str">
        <x:v>Active selection</x:v>
      </x:c>
      <x:c r="E7" s="2"/>
      <x:c r="F7" s="2"/>
      <x:c r="G7" s="2"/>
      <x:c r="H7" s="2"/>
      <x:c r="I7" s="2"/>
      <x:c r="J7" s="2"/>
      <x:c r="K7" s="2"/>
      <x:c r="L7" s="2"/>
    </x:row>
    <x:row r="8" ht="21" customHeight="1">
      <x:c r="A8" s="2"/>
      <x:c r="B8" s="2"/>
      <x:c r="C8" s="2" t="str">
        <x:v>Initial profit growth</x:v>
      </x:c>
      <x:c r="D8" s="42" t="n">
        <x:f>IF(AND(ISNUMBER($D$4),$D$4=INT($D$4),$D$4&gt;=1,$D$4&lt;=9),IF(AND(COUNTBLANK(INDEX($D$19:$L$19,1,$D$4))=0,ISNUMBER(INDEX($D$19:$L$19,1,$D$4)),INDEX($D$19:$L$19,1,$D$4)&gt;=-0.25,INDEX($D$19:$L$19,1,$D$4)&lt;=0.5),INDEX($D$19:$L$19,1,$D$4),NA()),NA())</x:f>
        <x:v>0.1</x:v>
      </x:c>
      <x:c r="E8" s="2"/>
      <x:c r="F8" s="2"/>
      <x:c r="G8" s="2"/>
      <x:c r="H8" s="2"/>
      <x:c r="I8" s="2"/>
      <x:c r="J8" s="2"/>
      <x:c r="K8" s="2"/>
      <x:c r="L8" s="2"/>
    </x:row>
    <x:row r="9" ht="21" customHeight="1">
      <x:c r="A9" s="2"/>
      <x:c r="B9" s="2"/>
      <x:c r="C9" s="2" t="str">
        <x:v>Initial marginal ROIC</x:v>
      </x:c>
      <x:c r="D9" s="42" t="n">
        <x:f>IF(AND(ISNUMBER($D$4),$D$4=INT($D$4),$D$4&gt;=1,$D$4&lt;=9),IF(AND(COUNTBLANK(INDEX($D$20:$L$20,1,$D$4))=0,ISNUMBER(INDEX($D$20:$L$20,1,$D$4)),INDEX($D$20:$L$20,1,$D$4)&gt;0,INDEX($D$20:$L$20,1,$D$4)&lt;=1),INDEX($D$20:$L$20,1,$D$4),NA()),NA())</x:f>
        <x:v>0.18</x:v>
      </x:c>
      <x:c r="E9" s="2"/>
      <x:c r="F9" s="2"/>
      <x:c r="G9" s="2"/>
      <x:c r="H9" s="2"/>
      <x:c r="I9" s="2"/>
      <x:c r="J9" s="2"/>
      <x:c r="K9" s="2"/>
      <x:c r="L9" s="2"/>
    </x:row>
    <x:row r="10" ht="21" customHeight="1">
      <x:c r="A10" s="2"/>
      <x:c r="B10" s="2"/>
      <x:c r="C10" s="2" t="str">
        <x:v>Terminal marginal ROIC</x:v>
      </x:c>
      <x:c r="D10" s="42" t="n">
        <x:f>IF(AND(ISNUMBER($D$4),$D$4=INT($D$4),$D$4&gt;=1,$D$4&lt;=9),IF(AND(COUNTBLANK(INDEX($D$21:$L$21,1,$D$4))=0,ISNUMBER(INDEX($D$21:$L$21,1,$D$4)),INDEX($D$21:$L$21,1,$D$4)&gt;0,INDEX($D$21:$L$21,1,$D$4)&lt;=1),INDEX($D$21:$L$21,1,$D$4),NA()),NA())</x:f>
        <x:v>0.12</x:v>
      </x:c>
      <x:c r="E10" s="2"/>
      <x:c r="F10" s="2"/>
      <x:c r="G10" s="2"/>
      <x:c r="H10" s="2"/>
      <x:c r="I10" s="2"/>
      <x:c r="J10" s="2"/>
      <x:c r="K10" s="2"/>
      <x:c r="L10" s="2"/>
    </x:row>
    <x:row r="11" ht="21" customHeight="1">
      <x:c r="A11" s="2"/>
      <x:c r="B11" s="2"/>
      <x:c r="C11" s="2" t="str">
        <x:v>Terminal profit growth</x:v>
      </x:c>
      <x:c r="D11" s="42" t="n">
        <x:f>IF(AND(ISNUMBER($D$4),$D$4=INT($D$4),$D$4&gt;=1,$D$4&lt;=9),IF(AND(COUNTBLANK(INDEX($D$22:$L$22,1,$D$4))=0,ISNUMBER(INDEX($D$22:$L$22,1,$D$4)),INDEX($D$22:$L$22,1,$D$4)&gt;=0,INDEX($D$22:$L$22,1,$D$4)&lt;=0.08),INDEX($D$22:$L$22,1,$D$4),NA()),NA())</x:f>
        <x:v>0.025</x:v>
      </x:c>
      <x:c r="E11" s="2"/>
      <x:c r="F11" s="2"/>
      <x:c r="G11" s="2"/>
      <x:c r="H11" s="2"/>
      <x:c r="I11" s="2"/>
      <x:c r="J11" s="2"/>
      <x:c r="K11" s="2"/>
      <x:c r="L11" s="2"/>
    </x:row>
    <x:row r="12" ht="21" customHeight="1">
      <x:c r="A12" s="2"/>
      <x:c r="B12" s="2"/>
      <x:c r="C12" s="2" t="str">
        <x:v>WACC</x:v>
      </x:c>
      <x:c r="D12" s="42" t="n">
        <x:f>IF(AND(ISNUMBER($D$4),$D$4=INT($D$4),$D$4&gt;=1,$D$4&lt;=9),IF(AND(COUNTBLANK(INDEX($D$23:$L$23,1,$D$4))=0,ISNUMBER(INDEX($D$23:$L$23,1,$D$4)),INDEX($D$23:$L$23,1,$D$4)&gt;0,INDEX($D$23:$L$23,1,$D$4)&lt;=0.5,INDEX($D$23:$L$23,1,$D$4)-$D$11&gt;=0.0001-1.7763568394002505E-15*MAX(ABS(INDEX($D$23:$L$23,1,$D$4)),ABS($D$11),0.0001)),INDEX($D$23:$L$23,1,$D$4),NA()),NA())</x:f>
        <x:v>0.1</x:v>
      </x:c>
      <x:c r="E12" s="2"/>
      <x:c r="F12" s="2"/>
      <x:c r="G12" s="2"/>
      <x:c r="H12" s="2"/>
      <x:c r="I12" s="2"/>
      <x:c r="J12" s="2"/>
      <x:c r="K12" s="2"/>
      <x:c r="L12" s="2"/>
    </x:row>
    <x:row r="13" ht="21" customHeight="1">
      <x:c r="A13" s="2"/>
      <x:c r="B13" s="2"/>
      <x:c r="C13" s="2" t="str">
        <x:v>Normalised tax rate</x:v>
      </x:c>
      <x:c r="D13" s="42" t="n">
        <x:f>IF(AND(ISNUMBER($D$4),$D$4=INT($D$4),$D$4&gt;=1,$D$4&lt;=9),IF(AND(COUNTBLANK(INDEX($D$24:$L$24,1,$D$4))=0,ISNUMBER(INDEX($D$24:$L$24,1,$D$4)),INDEX($D$24:$L$24,1,$D$4)&gt;=0,INDEX($D$24:$L$24,1,$D$4)&lt;1),INDEX($D$24:$L$24,1,$D$4),NA()),NA())</x:f>
        <x:v>0.25</x:v>
      </x:c>
      <x:c r="E13" s="2"/>
      <x:c r="F13" s="2"/>
      <x:c r="G13" s="2"/>
      <x:c r="H13" s="2"/>
      <x:c r="I13" s="2"/>
      <x:c r="J13" s="2"/>
      <x:c r="K13" s="2"/>
      <x:c r="L13" s="2"/>
    </x:row>
    <x:row r="14" ht="21" customHeight="1">
      <x:c r="A14" s="2"/>
      <x:c r="B14" s="2"/>
      <x:c r="C14" s="2" t="str">
        <x:v>Latest reported EBIT</x:v>
      </x:c>
      <x:c r="D14" s="24" t="n">
        <x:f>IF(AND(ISNUMBER($D$4),$D$4=INT($D$4),$D$4&gt;=1,$D$4&lt;=9),IF(AND(COUNTBLANK(INDEX($D$25:$L$25,1,$D$4))=0,ISNUMBER(INDEX($D$25:$L$25,1,$D$4)),INDEX($D$25:$L$25,1,$D$4)&gt;=0),INDEX($D$25:$L$25,1,$D$4),NA()),NA())</x:f>
        <x:v>128528</x:v>
      </x:c>
      <x:c r="E14" s="2"/>
      <x:c r="F14" s="2"/>
      <x:c r="G14" s="2"/>
      <x:c r="H14" s="2"/>
      <x:c r="I14" s="2"/>
      <x:c r="J14" s="2"/>
      <x:c r="K14" s="2"/>
      <x:c r="L14" s="2"/>
    </x:row>
    <x:row r="15" ht="21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</x:row>
    <x:row r="16" ht="21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</x:row>
    <x:row r="17" ht="21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</x:row>
    <x:row r="18" ht="42" customHeight="1">
      <x:c r="A18" s="2"/>
      <x:c r="B18" s="2"/>
      <x:c r="C18" s="19" t="str">
        <x:v>Numbered case inputs</x:v>
      </x:c>
      <x:c r="D18" s="20" t="str">
        <x:v>1 MSFT downside</x:v>
      </x:c>
      <x:c r="E18" s="20" t="str">
        <x:v>2 MSFT reference</x:v>
      </x:c>
      <x:c r="F18" s="20" t="str">
        <x:v>3 MSFT expansion</x:v>
      </x:c>
      <x:c r="G18" s="20" t="str">
        <x:v>4 TGT downside</x:v>
      </x:c>
      <x:c r="H18" s="20" t="str">
        <x:v>5 TGT reference</x:v>
      </x:c>
      <x:c r="I18" s="20" t="str">
        <x:v>6 TGT expansion</x:v>
      </x:c>
      <x:c r="J18" s="20" t="str">
        <x:v>7 INFY downside</x:v>
      </x:c>
      <x:c r="K18" s="20" t="str">
        <x:v>8 INFY reference</x:v>
      </x:c>
      <x:c r="L18" s="21" t="str">
        <x:v>9 INFY expansion</x:v>
      </x:c>
    </x:row>
    <x:row r="19" ht="21" customHeight="1">
      <x:c r="A19" s="2"/>
      <x:c r="B19" s="2"/>
      <x:c r="C19" s="2" t="str">
        <x:v>Initial profit growth</x:v>
      </x:c>
      <x:c r="D19" s="41" t="n">
        <x:v>0.05</x:v>
      </x:c>
      <x:c r="E19" s="41" t="n">
        <x:v>0.1</x:v>
      </x:c>
      <x:c r="F19" s="41" t="n">
        <x:v>0.15</x:v>
      </x:c>
      <x:c r="G19" s="41" t="n">
        <x:v>0</x:v>
      </x:c>
      <x:c r="H19" s="41" t="n">
        <x:v>0.02</x:v>
      </x:c>
      <x:c r="I19" s="41" t="n">
        <x:v>0.04</x:v>
      </x:c>
      <x:c r="J19" s="41" t="n">
        <x:v>0.02</x:v>
      </x:c>
      <x:c r="K19" s="41" t="n">
        <x:v>0.05</x:v>
      </x:c>
      <x:c r="L19" s="41" t="n">
        <x:v>0.08</x:v>
      </x:c>
    </x:row>
    <x:row r="20" ht="21" customHeight="1">
      <x:c r="A20" s="2"/>
      <x:c r="B20" s="2"/>
      <x:c r="C20" s="2" t="str">
        <x:v>Initial marginal ROIC</x:v>
      </x:c>
      <x:c r="D20" s="41" t="n">
        <x:v>0.1</x:v>
      </x:c>
      <x:c r="E20" s="41" t="n">
        <x:v>0.18</x:v>
      </x:c>
      <x:c r="F20" s="41" t="n">
        <x:v>0.25</x:v>
      </x:c>
      <x:c r="G20" s="41" t="n">
        <x:v>0.07</x:v>
      </x:c>
      <x:c r="H20" s="41" t="n">
        <x:v>0.12</x:v>
      </x:c>
      <x:c r="I20" s="41" t="n">
        <x:v>0.18</x:v>
      </x:c>
      <x:c r="J20" s="41" t="n">
        <x:v>0.1</x:v>
      </x:c>
      <x:c r="K20" s="41" t="n">
        <x:v>0.16</x:v>
      </x:c>
      <x:c r="L20" s="41" t="n">
        <x:v>0.22</x:v>
      </x:c>
    </x:row>
    <x:row r="21" ht="21" customHeight="1">
      <x:c r="A21" s="2"/>
      <x:c r="B21" s="2"/>
      <x:c r="C21" s="2" t="str">
        <x:v>Terminal marginal ROIC</x:v>
      </x:c>
      <x:c r="D21" s="41" t="n">
        <x:v>0.1</x:v>
      </x:c>
      <x:c r="E21" s="41" t="n">
        <x:v>0.12</x:v>
      </x:c>
      <x:c r="F21" s="41" t="n">
        <x:v>0.15</x:v>
      </x:c>
      <x:c r="G21" s="41" t="n">
        <x:v>0.08</x:v>
      </x:c>
      <x:c r="H21" s="41" t="n">
        <x:v>0.1</x:v>
      </x:c>
      <x:c r="I21" s="41" t="n">
        <x:v>0.12</x:v>
      </x:c>
      <x:c r="J21" s="41" t="n">
        <x:v>0.1</x:v>
      </x:c>
      <x:c r="K21" s="41" t="n">
        <x:v>0.12</x:v>
      </x:c>
      <x:c r="L21" s="41" t="n">
        <x:v>0.15</x:v>
      </x:c>
    </x:row>
    <x:row r="22" ht="21" customHeight="1">
      <x:c r="A22" s="2"/>
      <x:c r="B22" s="2"/>
      <x:c r="C22" s="2" t="str">
        <x:v>Terminal profit growth</x:v>
      </x:c>
      <x:c r="D22" s="41" t="n">
        <x:v>0.02</x:v>
      </x:c>
      <x:c r="E22" s="41" t="n">
        <x:v>0.025</x:v>
      </x:c>
      <x:c r="F22" s="41" t="n">
        <x:v>0.03</x:v>
      </x:c>
      <x:c r="G22" s="41" t="n">
        <x:v>0.01</x:v>
      </x:c>
      <x:c r="H22" s="41" t="n">
        <x:v>0.02</x:v>
      </x:c>
      <x:c r="I22" s="41" t="n">
        <x:v>0.025</x:v>
      </x:c>
      <x:c r="J22" s="41" t="n">
        <x:v>0.02</x:v>
      </x:c>
      <x:c r="K22" s="41" t="n">
        <x:v>0.025</x:v>
      </x:c>
      <x:c r="L22" s="41" t="n">
        <x:v>0.03</x:v>
      </x:c>
    </x:row>
    <x:row r="23" ht="21" customHeight="1">
      <x:c r="A23" s="2"/>
      <x:c r="B23" s="2"/>
      <x:c r="C23" s="2" t="str">
        <x:v>WACC</x:v>
      </x:c>
      <x:c r="D23" s="41" t="n">
        <x:v>0.1</x:v>
      </x:c>
      <x:c r="E23" s="41" t="n">
        <x:v>0.1</x:v>
      </x:c>
      <x:c r="F23" s="41" t="n">
        <x:v>0.1</x:v>
      </x:c>
      <x:c r="G23" s="41" t="n">
        <x:v>0.1</x:v>
      </x:c>
      <x:c r="H23" s="41" t="n">
        <x:v>0.1</x:v>
      </x:c>
      <x:c r="I23" s="41" t="n">
        <x:v>0.1</x:v>
      </x:c>
      <x:c r="J23" s="41" t="n">
        <x:v>0.1</x:v>
      </x:c>
      <x:c r="K23" s="41" t="n">
        <x:v>0.1</x:v>
      </x:c>
      <x:c r="L23" s="41" t="n">
        <x:v>0.1</x:v>
      </x:c>
    </x:row>
    <x:row r="24" ht="21" customHeight="1">
      <x:c r="A24" s="2"/>
      <x:c r="B24" s="2"/>
      <x:c r="C24" s="2" t="str">
        <x:v>Normalised tax rate</x:v>
      </x:c>
      <x:c r="D24" s="41" t="n">
        <x:v>0.25</x:v>
      </x:c>
      <x:c r="E24" s="41" t="n">
        <x:v>0.25</x:v>
      </x:c>
      <x:c r="F24" s="41" t="n">
        <x:v>0.25</x:v>
      </x:c>
      <x:c r="G24" s="41" t="n">
        <x:v>0.25</x:v>
      </x:c>
      <x:c r="H24" s="41" t="n">
        <x:v>0.25</x:v>
      </x:c>
      <x:c r="I24" s="41" t="n">
        <x:v>0.25</x:v>
      </x:c>
      <x:c r="J24" s="41" t="n">
        <x:v>0.25</x:v>
      </x:c>
      <x:c r="K24" s="41" t="n">
        <x:v>0.25</x:v>
      </x:c>
      <x:c r="L24" s="41" t="n">
        <x:v>0.25</x:v>
      </x:c>
    </x:row>
    <x:row r="25" ht="21" customHeight="1">
      <x:c r="A25" s="2"/>
      <x:c r="B25" s="2"/>
      <x:c r="C25" s="2" t="str">
        <x:v>Latest reported EBIT</x:v>
      </x:c>
      <x:c r="D25" s="43" t="n">
        <x:f>'Statements'!F8</x:f>
        <x:v>128528</x:v>
      </x:c>
      <x:c r="E25" s="43" t="n">
        <x:f>'Statements'!F8</x:f>
        <x:v>128528</x:v>
      </x:c>
      <x:c r="F25" s="43" t="n">
        <x:f>'Statements'!F8</x:f>
        <x:v>128528</x:v>
      </x:c>
      <x:c r="G25" s="43" t="n">
        <x:f>'Statements'!F45</x:f>
        <x:v>5117</x:v>
      </x:c>
      <x:c r="H25" s="43" t="n">
        <x:f>'Statements'!F45</x:f>
        <x:v>5117</x:v>
      </x:c>
      <x:c r="I25" s="43" t="n">
        <x:f>'Statements'!F45</x:f>
        <x:v>5117</x:v>
      </x:c>
      <x:c r="J25" s="43" t="n">
        <x:f>'Statements'!F82</x:f>
        <x:v>4071</x:v>
      </x:c>
      <x:c r="K25" s="43" t="n">
        <x:f>'Statements'!F82</x:f>
        <x:v>4071</x:v>
      </x:c>
      <x:c r="L25" s="43" t="n">
        <x:f>'Statements'!F82</x:f>
        <x:v>4071</x:v>
      </x:c>
    </x:row>
    <x:row r="26" ht="21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</x:row>
    <x:row r="27" ht="21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</x:row>
    <x:row r="28" ht="21" customHeight="1">
      <x:c r="A28" s="2"/>
      <x:c r="B28" s="2"/>
      <x:c r="C28" s="2" t="str">
        <x:v>Growth, marginal ROIC, WACC and tax are illustrative assumptions, not current market estimates.</x:v>
      </x:c>
      <x:c r="D28" s="2"/>
      <x:c r="E28" s="2"/>
      <x:c r="F28" s="2"/>
      <x:c r="G28" s="2"/>
      <x:c r="H28" s="2"/>
      <x:c r="I28" s="2"/>
      <x:c r="J28" s="2"/>
      <x:c r="K28" s="2"/>
      <x:c r="L28" s="2"/>
    </x:row>
    <x:row r="29" ht="21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</x:row>
    <x:row r="30" ht="21" customHeight="1">
      <x:c r="A30" s="2"/>
      <x:c r="B30" s="2"/>
      <x:c r="C30" s="2" t="str">
        <x:v>Blue cells are editable. A blank required active input or invalid terminal spread exposes an error.</x:v>
      </x:c>
      <x:c r="D30" s="2"/>
      <x:c r="E30" s="2"/>
      <x:c r="F30" s="2"/>
      <x:c r="G30" s="2"/>
      <x:c r="H30" s="2"/>
      <x:c r="I30" s="2"/>
      <x:c r="J30" s="2"/>
      <x:c r="K30" s="2"/>
      <x:c r="L30" s="2"/>
    </x:row>
    <x:row r="31" ht="21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</x:row>
  </x:sheetData>
  <x:dataValidations count="1">
    <x:dataValidation type="whole" operator="between" sqref="D4">
      <x:formula1>1</x:formula1>
      <x:formula2>9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D7C8B4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" hidden="0" customWidth="1"/>
    <x:col min="2" max="2" width="2" hidden="0" customWidth="1"/>
    <x:col min="3" max="3" width="44" hidden="0" customWidth="1"/>
    <x:col min="4" max="4" width="17" hidden="0" customWidth="1"/>
    <x:col min="5" max="5" width="17" hidden="0" customWidth="1"/>
    <x:col min="6" max="6" width="17" hidden="0" customWidth="1"/>
    <x:col min="7" max="7" width="3" hidden="0" customWidth="1"/>
    <x:col min="8" max="8" width="20" hidden="0" customWidth="1"/>
    <x:col min="9" max="9" width="98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1" customHeight="1">
      <x:c r="A2" s="2"/>
      <x:c r="B2" s="2"/>
      <x:c r="C2" s="4" t="str">
        <x:v>Consolidated annual financial spread (USD millions)</x:v>
      </x:c>
      <x:c r="D2" s="5"/>
      <x:c r="E2" s="5"/>
      <x:c r="F2" s="5"/>
      <x:c r="G2" s="5"/>
      <x:c r="H2" s="5"/>
      <x:c r="I2" s="5"/>
    </x:row>
    <x:row r="3" ht="21" customHeight="1">
      <x:c r="A3" s="2"/>
      <x:c r="B3" s="2"/>
      <x:c r="C3" s="2"/>
      <x:c r="D3" s="2"/>
      <x:c r="E3" s="2"/>
      <x:c r="F3" s="2"/>
      <x:c r="G3" s="2"/>
      <x:c r="H3" s="2"/>
      <x:c r="I3" s="2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36" customHeight="1">
      <x:c r="A5" s="2"/>
      <x:c r="B5" s="2"/>
      <x:c r="C5" s="19" t="str">
        <x:v>MSFT</x:v>
      </x:c>
      <x:c r="D5" s="22" t="str">
        <x:v>FY:23</x:v>
      </x:c>
      <x:c r="E5" s="22" t="str">
        <x:v>FY:24</x:v>
      </x:c>
      <x:c r="F5" s="23" t="str">
        <x:v>FY:25</x:v>
      </x:c>
      <x:c r="G5" s="2"/>
      <x:c r="H5" s="2"/>
      <x:c r="I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</x:row>
    <x:row r="7" ht="34" customHeight="1">
      <x:c r="A7" s="2"/>
      <x:c r="B7" s="2"/>
      <x:c r="C7" s="2" t="str">
        <x:v>Revenue / total net sales</x:v>
      </x:c>
      <x:c r="D7" s="26" t="n">
        <x:v>211915</x:v>
      </x:c>
      <x:c r="E7" s="26" t="n">
        <x:v>245122</x:v>
      </x:c>
      <x:c r="F7" s="26" t="n">
        <x:v>281724</x:v>
      </x:c>
      <x:c r="G7" s="2"/>
      <x:c r="H7" s="2" t="str">
        <x:v>FY:23 source</x:v>
      </x:c>
      <x:c r="I7" s="27" t="str">
        <x:v>https://cdn-dynmedia-1.microsoft.com/is/content/microsoftcorp/MSFT_FY23Q4_10K</x:v>
      </x:c>
    </x:row>
    <x:row r="8" ht="34" customHeight="1">
      <x:c r="A8" s="2"/>
      <x:c r="B8" s="2"/>
      <x:c r="C8" s="2" t="str">
        <x:v>Reported operating income</x:v>
      </x:c>
      <x:c r="D8" s="26" t="n">
        <x:v>88523</x:v>
      </x:c>
      <x:c r="E8" s="26" t="n">
        <x:v>109433</x:v>
      </x:c>
      <x:c r="F8" s="26" t="n">
        <x:v>128528</x:v>
      </x:c>
      <x:c r="G8" s="2"/>
      <x:c r="H8" s="2" t="str">
        <x:v>FY:24 source</x:v>
      </x:c>
      <x:c r="I8" s="27" t="str">
        <x:v>https://cdn-dynmedia-1.microsoft.com/is/content/microsoftcorp/MSFT_FY24Q4_10K</x:v>
      </x:c>
    </x:row>
    <x:row r="9" ht="34" customHeight="1">
      <x:c r="A9" s="2"/>
      <x:c r="B9" s="2"/>
      <x:c r="C9" s="2" t="str">
        <x:v>Consolidated net income</x:v>
      </x:c>
      <x:c r="D9" s="26" t="n">
        <x:v>72361</x:v>
      </x:c>
      <x:c r="E9" s="26" t="n">
        <x:v>88136</x:v>
      </x:c>
      <x:c r="F9" s="26" t="n">
        <x:v>101832</x:v>
      </x:c>
      <x:c r="G9" s="2"/>
      <x:c r="H9" s="2" t="str">
        <x:v>FY:25 source</x:v>
      </x:c>
      <x:c r="I9" s="27" t="str">
        <x:v>https://cdn-dynmedia-1.microsoft.com/is/content/microsoftcorp/MSFT_FY25q4_10K</x:v>
      </x:c>
    </x:row>
    <x:row r="10" ht="21" customHeight="1">
      <x:c r="A10" s="2"/>
      <x:c r="B10" s="2"/>
      <x:c r="C10" s="2" t="str">
        <x:v>Total assets</x:v>
      </x:c>
      <x:c r="D10" s="26" t="n">
        <x:v>411976</x:v>
      </x:c>
      <x:c r="E10" s="26" t="n">
        <x:v>512163</x:v>
      </x:c>
      <x:c r="F10" s="26" t="n">
        <x:v>619003</x:v>
      </x:c>
      <x:c r="G10" s="2"/>
      <x:c r="H10" s="2"/>
      <x:c r="I10" s="2"/>
    </x:row>
    <x:row r="11" ht="21" customHeight="1">
      <x:c r="A11" s="2"/>
      <x:c r="B11" s="2"/>
      <x:c r="C11" s="2" t="str">
        <x:v>Direct total liabilities</x:v>
      </x:c>
      <x:c r="D11" s="26" t="n">
        <x:v>205753</x:v>
      </x:c>
      <x:c r="E11" s="26" t="n">
        <x:v>243686</x:v>
      </x:c>
      <x:c r="F11" s="26" t="n">
        <x:v>275524</x:v>
      </x:c>
      <x:c r="G11" s="2"/>
      <x:c r="H11" s="2"/>
      <x:c r="I11" s="2"/>
    </x:row>
    <x:row r="12" ht="21" customHeight="1">
      <x:c r="A12" s="2"/>
      <x:c r="B12" s="2"/>
      <x:c r="C12" s="2" t="str">
        <x:v>Consolidated equity</x:v>
      </x:c>
      <x:c r="D12" s="26" t="n">
        <x:v>206223</x:v>
      </x:c>
      <x:c r="E12" s="26" t="n">
        <x:v>268477</x:v>
      </x:c>
      <x:c r="F12" s="26" t="n">
        <x:v>343479</x:v>
      </x:c>
      <x:c r="G12" s="2"/>
      <x:c r="H12" s="2" t="str">
        <x:v>FY:23 SHA256</x:v>
      </x:c>
      <x:c r="I12" s="2" t="str">
        <x:v>6cdaa2e9710b930ce5f1ddb186753b82e6b1d659734b7d5e5c8fc69b72a2f17c</x:v>
      </x:c>
    </x:row>
    <x:row r="13" ht="21" customHeight="1">
      <x:c r="A13" s="2"/>
      <x:c r="B13" s="2"/>
      <x:c r="C13" s="2" t="str">
        <x:v>Cash and cash equivalents</x:v>
      </x:c>
      <x:c r="D13" s="26" t="n">
        <x:v>34704</x:v>
      </x:c>
      <x:c r="E13" s="26" t="n">
        <x:v>18315</x:v>
      </x:c>
      <x:c r="F13" s="26" t="n">
        <x:v>30242</x:v>
      </x:c>
      <x:c r="G13" s="2"/>
      <x:c r="H13" s="2" t="str">
        <x:v>FY:24 SHA256</x:v>
      </x:c>
      <x:c r="I13" s="2" t="str">
        <x:v>d2634a95701e31734089f6f8f7e080e1fb3ceb44c7a9e7442bd28744d8ec7ab0</x:v>
      </x:c>
    </x:row>
    <x:row r="14" ht="21" customHeight="1">
      <x:c r="A14" s="2"/>
      <x:c r="B14" s="2"/>
      <x:c r="C14" s="2" t="str">
        <x:v>Current assets</x:v>
      </x:c>
      <x:c r="D14" s="26" t="n">
        <x:v>184257</x:v>
      </x:c>
      <x:c r="E14" s="26" t="n">
        <x:v>159734</x:v>
      </x:c>
      <x:c r="F14" s="26" t="n">
        <x:v>191131</x:v>
      </x:c>
      <x:c r="G14" s="2"/>
      <x:c r="H14" s="2" t="str">
        <x:v>FY:25 SHA256</x:v>
      </x:c>
      <x:c r="I14" s="2" t="str">
        <x:v>777ed663455c01710aaf9235a74ad5044cc0ade639baeb9bda20889e0994b22f</x:v>
      </x:c>
    </x:row>
    <x:row r="15" ht="21" customHeight="1">
      <x:c r="A15" s="2"/>
      <x:c r="B15" s="2"/>
      <x:c r="C15" s="2" t="str">
        <x:v>Current liabilities</x:v>
      </x:c>
      <x:c r="D15" s="26" t="n">
        <x:v>104149</x:v>
      </x:c>
      <x:c r="E15" s="26" t="n">
        <x:v>125286</x:v>
      </x:c>
      <x:c r="F15" s="26" t="n">
        <x:v>141218</x:v>
      </x:c>
      <x:c r="G15" s="2"/>
      <x:c r="H15" s="2"/>
      <x:c r="I15" s="2"/>
    </x:row>
    <x:row r="16" ht="21" customHeight="1">
      <x:c r="A16" s="2"/>
      <x:c r="B16" s="2"/>
      <x:c r="C16" s="2" t="str">
        <x:v>Cash from operating activities</x:v>
      </x:c>
      <x:c r="D16" s="26" t="n">
        <x:v>87582</x:v>
      </x:c>
      <x:c r="E16" s="26" t="n">
        <x:v>118548</x:v>
      </x:c>
      <x:c r="F16" s="26" t="n">
        <x:v>136162</x:v>
      </x:c>
      <x:c r="G16" s="2"/>
      <x:c r="H16" s="2"/>
      <x:c r="I16" s="2"/>
    </x:row>
    <x:row r="17" ht="21" customHeight="1">
      <x:c r="A17" s="2"/>
      <x:c r="B17" s="2"/>
      <x:c r="C17" s="2" t="str">
        <x:v>Gross cash PPE purchases</x:v>
      </x:c>
      <x:c r="D17" s="26" t="n">
        <x:v>28107</x:v>
      </x:c>
      <x:c r="E17" s="26" t="n">
        <x:v>44477</x:v>
      </x:c>
      <x:c r="F17" s="26" t="n">
        <x:v>64551</x:v>
      </x:c>
      <x:c r="G17" s="2"/>
      <x:c r="H17" s="2" t="str">
        <x:v>Statement locators</x:v>
      </x:c>
      <x:c r="I17" s="2" t="str">
        <x:v>Numeric references and per-field source locators: data/references.json.</x:v>
      </x:c>
    </x:row>
    <x:row r="18" ht="21" customHeight="1">
      <x:c r="A18" s="2"/>
      <x:c r="B18" s="2"/>
      <x:c r="C18" s="2" t="str">
        <x:v>Direct depreciation / amortisation</x:v>
      </x:c>
      <x:c r="D18" s="26" t="str">
        <x:v>n.a.</x:v>
      </x:c>
      <x:c r="E18" s="26" t="str">
        <x:v>n.a.</x:v>
      </x:c>
      <x:c r="F18" s="26" t="str">
        <x:v>n.a.</x:v>
      </x:c>
      <x:c r="G18" s="2"/>
      <x:c r="H18" s="2"/>
      <x:c r="I18" s="2"/>
    </x:row>
    <x:row r="19" ht="21" customHeight="1">
      <x:c r="A19" s="2"/>
      <x:c r="B19" s="2"/>
      <x:c r="C19" s="2" t="str">
        <x:v>Beginning cash</x:v>
      </x:c>
      <x:c r="D19" s="26" t="n">
        <x:v>13931</x:v>
      </x:c>
      <x:c r="E19" s="26" t="n">
        <x:v>34704</x:v>
      </x:c>
      <x:c r="F19" s="26" t="n">
        <x:v>18315</x:v>
      </x:c>
      <x:c r="G19" s="2"/>
      <x:c r="H19" s="2"/>
      <x:c r="I19" s="2" t="str">
        <x:v>D&amp;A plus other is unavailable as pure D&amp;A.</x:v>
      </x:c>
    </x:row>
    <x:row r="20" ht="21" customHeight="1">
      <x:c r="A20" s="2"/>
      <x:c r="B20" s="2"/>
      <x:c r="C20" s="2" t="str">
        <x:v>Investing cash flow</x:v>
      </x:c>
      <x:c r="D20" s="26" t="n">
        <x:v>-22680</x:v>
      </x:c>
      <x:c r="E20" s="26" t="n">
        <x:v>-96970</x:v>
      </x:c>
      <x:c r="F20" s="26" t="n">
        <x:v>-72599</x:v>
      </x:c>
      <x:c r="G20" s="2"/>
      <x:c r="H20" s="2"/>
      <x:c r="I20" s="2" t="str">
        <x:v>Cash PPE excludes noncash leases and acquisitions.</x:v>
      </x:c>
    </x:row>
    <x:row r="21" ht="21" customHeight="1">
      <x:c r="A21" s="2"/>
      <x:c r="B21" s="2"/>
      <x:c r="C21" s="2" t="str">
        <x:v>Financing cash flow</x:v>
      </x:c>
      <x:c r="D21" s="26" t="n">
        <x:v>-43935</x:v>
      </x:c>
      <x:c r="E21" s="26" t="n">
        <x:v>-37757</x:v>
      </x:c>
      <x:c r="F21" s="26" t="n">
        <x:v>-51699</x:v>
      </x:c>
      <x:c r="G21" s="2"/>
      <x:c r="H21" s="2"/>
      <x:c r="I21" s="2"/>
    </x:row>
    <x:row r="22" ht="21" customHeight="1">
      <x:c r="A22" s="2"/>
      <x:c r="B22" s="2"/>
      <x:c r="C22" s="2" t="str">
        <x:v>FX effect on cash</x:v>
      </x:c>
      <x:c r="D22" s="26" t="n">
        <x:v>-194</x:v>
      </x:c>
      <x:c r="E22" s="26" t="n">
        <x:v>-210</x:v>
      </x:c>
      <x:c r="F22" s="26" t="n">
        <x:v>63</x:v>
      </x:c>
      <x:c r="G22" s="2"/>
      <x:c r="H22" s="2"/>
      <x:c r="I22" s="2"/>
    </x:row>
    <x:row r="23" ht="21" customHeight="1">
      <x:c r="A23" s="2"/>
      <x:c r="B23" s="2"/>
      <x:c r="C23" s="2" t="str">
        <x:v>Reported net cash change</x:v>
      </x:c>
      <x:c r="D23" s="26" t="n">
        <x:v>20773</x:v>
      </x:c>
      <x:c r="E23" s="26" t="n">
        <x:v>-16389</x:v>
      </x:c>
      <x:c r="F23" s="26" t="n">
        <x:v>11927</x:v>
      </x:c>
      <x:c r="G23" s="2"/>
      <x:c r="H23" s="2"/>
      <x:c r="I23" s="2" t="str">
        <x:v>Cash proxies are historical accounting measures; they are not FCFF.</x:v>
      </x:c>
    </x:row>
    <x:row r="24" ht="21" customHeight="1">
      <x:c r="A24" s="2"/>
      <x:c r="B24" s="2"/>
      <x:c r="C24" s="2" t="str">
        <x:v>Noncurrent liabilities subtotal</x:v>
      </x:c>
      <x:c r="D24" s="26" t="str">
        <x:v>n.a.</x:v>
      </x:c>
      <x:c r="E24" s="26" t="str">
        <x:v>n.a.</x:v>
      </x:c>
      <x:c r="F24" s="26" t="str">
        <x:v>n.a.</x:v>
      </x:c>
      <x:c r="G24" s="2"/>
      <x:c r="H24" s="2"/>
      <x:c r="I24" s="2"/>
    </x:row>
    <x:row r="25" ht="21" customHeight="1">
      <x:c r="A25" s="2"/>
      <x:c r="B25" s="2"/>
      <x:c r="C25" s="2" t="str">
        <x:v>Combined PPE / intangibles cash</x:v>
      </x:c>
      <x:c r="D25" s="26" t="str">
        <x:v>n.a.</x:v>
      </x:c>
      <x:c r="E25" s="26" t="str">
        <x:v>n.a.</x:v>
      </x:c>
      <x:c r="F25" s="26" t="str">
        <x:v>n.a.</x:v>
      </x:c>
      <x:c r="G25" s="2"/>
      <x:c r="H25" s="2"/>
      <x:c r="I25" s="2"/>
    </x:row>
    <x:row r="26" ht="21" customHeight="1">
      <x:c r="A26" s="2"/>
      <x:c r="B26" s="2"/>
      <x:c r="C26" s="2" t="str">
        <x:v>Cash operations before tax</x:v>
      </x:c>
      <x:c r="D26" s="26" t="str">
        <x:v>n.a.</x:v>
      </x:c>
      <x:c r="E26" s="26" t="str">
        <x:v>n.a.</x:v>
      </x:c>
      <x:c r="F26" s="26" t="str">
        <x:v>n.a.</x:v>
      </x:c>
      <x:c r="G26" s="2"/>
      <x:c r="H26" s="2"/>
      <x:c r="I26" s="2"/>
    </x:row>
    <x:row r="27" ht="21" customHeight="1">
      <x:c r="A27" s="2"/>
      <x:c r="B27" s="2"/>
      <x:c r="C27" s="2" t="str">
        <x:v>Cash income taxes paid</x:v>
      </x:c>
      <x:c r="D27" s="26" t="str">
        <x:v>n.a.</x:v>
      </x:c>
      <x:c r="E27" s="26" t="str">
        <x:v>n.a.</x:v>
      </x:c>
      <x:c r="F27" s="26" t="str">
        <x:v>n.a.</x:v>
      </x:c>
      <x:c r="G27" s="2"/>
      <x:c r="H27" s="2"/>
      <x:c r="I27" s="2"/>
    </x:row>
    <x:row r="28" ht="21" customHeight="1">
      <x:c r="A28" s="2"/>
      <x:c r="B28" s="2"/>
      <x:c r="C28" s="2"/>
      <x:c r="D28" s="2"/>
      <x:c r="E28" s="2"/>
      <x:c r="F28" s="2"/>
      <x:c r="G28" s="2"/>
      <x:c r="H28" s="2"/>
      <x:c r="I28" s="2"/>
    </x:row>
    <x:row r="29" ht="21" customHeight="1">
      <x:c r="A29" s="2"/>
      <x:c r="B29" s="2"/>
      <x:c r="C29" s="31" t="str">
        <x:v>Operating margin</x:v>
      </x:c>
      <x:c r="D29" s="32" t="n">
        <x:f>D8/D7</x:f>
        <x:v>0.417728806361041</x:v>
      </x:c>
      <x:c r="E29" s="32" t="n">
        <x:f>E8/E7</x:f>
        <x:v>0.44644299573273716</x:v>
      </x:c>
      <x:c r="F29" s="32" t="n">
        <x:f>F8/F7</x:f>
        <x:v>0.4562195624085985</x:v>
      </x:c>
      <x:c r="G29" s="2"/>
      <x:c r="H29" s="2"/>
      <x:c r="I29" s="2"/>
    </x:row>
    <x:row r="30" ht="21" customHeight="1">
      <x:c r="A30" s="2"/>
      <x:c r="B30" s="2"/>
      <x:c r="C30" s="31" t="str">
        <x:v>Current ratio</x:v>
      </x:c>
      <x:c r="D30" s="33" t="n">
        <x:f>D14/D15</x:f>
        <x:v>1.76916725076573</x:v>
      </x:c>
      <x:c r="E30" s="33" t="n">
        <x:f>E14/E15</x:f>
        <x:v>1.2749549031815206</x:v>
      </x:c>
      <x:c r="F30" s="33" t="n">
        <x:f>F14/F15</x:f>
        <x:v>1.3534464445042416</x:v>
      </x:c>
      <x:c r="G30" s="2"/>
      <x:c r="H30" s="2"/>
      <x:c r="I30" s="2"/>
    </x:row>
    <x:row r="31" ht="21" customHeight="1">
      <x:c r="A31" s="2"/>
      <x:c r="B31" s="2"/>
      <x:c r="C31" s="31" t="str">
        <x:v>CFO / consolidated net income</x:v>
      </x:c>
      <x:c r="D31" s="33" t="n">
        <x:f>D16/D9</x:f>
        <x:v>1.2103481156976825</x:v>
      </x:c>
      <x:c r="E31" s="33" t="n">
        <x:f>E16/E9</x:f>
        <x:v>1.345057638195516</x:v>
      </x:c>
      <x:c r="F31" s="33" t="n">
        <x:f>F16/F9</x:f>
        <x:v>1.3371238903291696</x:v>
      </x:c>
      <x:c r="G31" s="2"/>
      <x:c r="H31" s="2"/>
      <x:c r="I31" s="2"/>
    </x:row>
    <x:row r="32" ht="21" customHeight="1">
      <x:c r="A32" s="2"/>
      <x:c r="B32" s="2"/>
      <x:c r="C32" s="2" t="str">
        <x:v>CFO less pure cash PPE</x:v>
      </x:c>
      <x:c r="D32" s="34" t="n">
        <x:f>IF(ISNUMBER(D17),D16-D17,"n.a.")</x:f>
        <x:v>59475</x:v>
      </x:c>
      <x:c r="E32" s="34" t="n">
        <x:f>IF(ISNUMBER(E17),E16-E17,"n.a.")</x:f>
        <x:v>74071</x:v>
      </x:c>
      <x:c r="F32" s="34" t="n">
        <x:f>IF(ISNUMBER(F17),F16-F17,"n.a.")</x:f>
        <x:v>71611</x:v>
      </x:c>
      <x:c r="G32" s="2"/>
      <x:c r="H32" s="2"/>
      <x:c r="I32" s="2"/>
    </x:row>
    <x:row r="33" ht="21" customHeight="1">
      <x:c r="A33" s="2"/>
      <x:c r="B33" s="2"/>
      <x:c r="C33" s="2" t="str">
        <x:v>CFO less combined PPE / intangibles</x:v>
      </x:c>
      <x:c r="D33" s="34" t="str">
        <x:f>IF(ISNUMBER(D25),D16-D25,"n.a.")</x:f>
        <x:v>n.a.</x:v>
      </x:c>
      <x:c r="E33" s="34" t="str">
        <x:f>IF(ISNUMBER(E25),E16-E25,"n.a.")</x:f>
        <x:v>n.a.</x:v>
      </x:c>
      <x:c r="F33" s="34" t="str">
        <x:f>IF(ISNUMBER(F25),F16-F25,"n.a.")</x:f>
        <x:v>n.a.</x:v>
      </x:c>
      <x:c r="G33" s="2"/>
      <x:c r="H33" s="2"/>
      <x:c r="I33" s="2"/>
    </x:row>
    <x:row r="34" ht="21" customHeight="1">
      <x:c r="A34" s="2"/>
      <x:c r="B34" s="2"/>
      <x:c r="C34" s="31" t="str">
        <x:v>Revenue growth</x:v>
      </x:c>
      <x:c r="D34" s="32" t="str">
        <x:v>n.a.</x:v>
      </x:c>
      <x:c r="E34" s="32" t="n">
        <x:f>E7/D7-1</x:f>
        <x:v>0.1566996201307127</x:v>
      </x:c>
      <x:c r="F34" s="32" t="n">
        <x:f>F7/E7-1</x:f>
        <x:v>0.14932156232406713</x:v>
      </x:c>
      <x:c r="G34" s="2"/>
      <x:c r="H34" s="2"/>
      <x:c r="I34" s="2"/>
    </x:row>
    <x:row r="35" ht="21" customHeight="1">
      <x:c r="A35" s="2"/>
      <x:c r="B35" s="2"/>
      <x:c r="C35" s="2" t="str">
        <x:v>Cash-flow sum residual</x:v>
      </x:c>
      <x:c r="D35" s="35" t="n">
        <x:f>D16+SUM(D20:D22)-(D13-D19)</x:f>
        <x:v>0</x:v>
      </x:c>
      <x:c r="E35" s="35" t="n">
        <x:f>E16+SUM(E20:E22)-(E13-E19)</x:f>
        <x:v>0</x:v>
      </x:c>
      <x:c r="F35" s="35" t="n">
        <x:f>F16+SUM(F20:F22)-(F13-F19)</x:f>
        <x:v>0</x:v>
      </x:c>
      <x:c r="G35" s="2"/>
      <x:c r="H35" s="2"/>
      <x:c r="I35" s="2"/>
    </x:row>
    <x:row r="36" ht="21" customHeight="1">
      <x:c r="A36" s="2"/>
      <x:c r="B36" s="2"/>
      <x:c r="C36" s="2" t="str">
        <x:v>Balance identity residual</x:v>
      </x:c>
      <x:c r="D36" s="35" t="n">
        <x:f>D10-D11-D12</x:f>
        <x:v>0</x:v>
      </x:c>
      <x:c r="E36" s="35" t="n">
        <x:f>E10-E11-E12</x:f>
        <x:v>0</x:v>
      </x:c>
      <x:c r="F36" s="35" t="n">
        <x:f>F10-F11-F12</x:f>
        <x:v>0</x:v>
      </x:c>
      <x:c r="G36" s="2"/>
      <x:c r="H36" s="2"/>
      <x:c r="I36" s="2"/>
    </x:row>
    <x:row r="37" ht="21" customHeight="1">
      <x:c r="A37" s="2"/>
      <x:c r="B37" s="2"/>
      <x:c r="C37" s="2" t="str">
        <x:v>Ending-cash bridge residual</x:v>
      </x:c>
      <x:c r="D37" s="35" t="n">
        <x:f>D19+D23+0-D13</x:f>
        <x:v>0</x:v>
      </x:c>
      <x:c r="E37" s="35" t="n">
        <x:f>E19+E23+0-E13</x:f>
        <x:v>0</x:v>
      </x:c>
      <x:c r="F37" s="35" t="n">
        <x:f>F19+F23+0-F13</x:f>
        <x:v>0</x:v>
      </x:c>
      <x:c r="G37" s="2"/>
      <x:c r="H37" s="2"/>
      <x:c r="I37" s="2"/>
    </x:row>
    <x:row r="38" ht="21" customHeight="1">
      <x:c r="A38" s="2"/>
      <x:c r="B38" s="2"/>
      <x:c r="C38" s="2"/>
      <x:c r="D38" s="2"/>
      <x:c r="E38" s="2"/>
      <x:c r="F38" s="2"/>
      <x:c r="G38" s="2"/>
      <x:c r="H38" s="2"/>
      <x:c r="I38" s="2"/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</x:row>
    <x:row r="42" ht="36" customHeight="1">
      <x:c r="A42" s="2"/>
      <x:c r="B42" s="2"/>
      <x:c r="C42" s="19" t="str">
        <x:v>TGT</x:v>
      </x:c>
      <x:c r="D42" s="22" t="str">
        <x:v>FY:23</x:v>
      </x:c>
      <x:c r="E42" s="22" t="str">
        <x:v>FY:24</x:v>
      </x:c>
      <x:c r="F42" s="23" t="str">
        <x:v>FY:25</x:v>
      </x:c>
      <x:c r="G42" s="2"/>
      <x:c r="H42" s="2"/>
      <x:c r="I42" s="2"/>
    </x:row>
    <x:row r="43" ht="21" customHeight="1">
      <x:c r="A43" s="2"/>
      <x:c r="B43" s="2"/>
      <x:c r="C43" s="2"/>
      <x:c r="D43" s="2"/>
      <x:c r="E43" s="2"/>
      <x:c r="F43" s="2"/>
      <x:c r="G43" s="2"/>
      <x:c r="H43" s="2"/>
      <x:c r="I43" s="2"/>
    </x:row>
    <x:row r="44" ht="34" customHeight="1">
      <x:c r="A44" s="2"/>
      <x:c r="B44" s="2"/>
      <x:c r="C44" s="2" t="str">
        <x:v>Revenue / total net sales</x:v>
      </x:c>
      <x:c r="D44" s="26" t="n">
        <x:v>107412</x:v>
      </x:c>
      <x:c r="E44" s="26" t="n">
        <x:v>106566</x:v>
      </x:c>
      <x:c r="F44" s="26" t="n">
        <x:v>104780</x:v>
      </x:c>
      <x:c r="G44" s="2"/>
      <x:c r="H44" s="2" t="str">
        <x:v>FY:23 source</x:v>
      </x:c>
      <x:c r="I44" s="27" t="str">
        <x:v>https://corporate.target.com/getmedia/eba4c76f-a33f-4f4c-9dce-683e907ac4e1/2023-Annual-Report-Target-Corporation.pdf</x:v>
      </x:c>
    </x:row>
    <x:row r="45" ht="34" customHeight="1">
      <x:c r="A45" s="2"/>
      <x:c r="B45" s="2"/>
      <x:c r="C45" s="2" t="str">
        <x:v>Reported operating income</x:v>
      </x:c>
      <x:c r="D45" s="26" t="n">
        <x:v>5707</x:v>
      </x:c>
      <x:c r="E45" s="26" t="n">
        <x:v>5566</x:v>
      </x:c>
      <x:c r="F45" s="26" t="n">
        <x:v>5117</x:v>
      </x:c>
      <x:c r="G45" s="2"/>
      <x:c r="H45" s="2" t="str">
        <x:v>FY:24 source</x:v>
      </x:c>
      <x:c r="I45" s="27" t="str">
        <x:v>https://corporate.target.com/getmedia/c23bca62-1790-47bd-ad0e-6971aee4f78d/2024-Annual-Report-Target-Corporation.pdf</x:v>
      </x:c>
    </x:row>
    <x:row r="46" ht="34" customHeight="1">
      <x:c r="A46" s="2"/>
      <x:c r="B46" s="2"/>
      <x:c r="C46" s="2" t="str">
        <x:v>Consolidated net income</x:v>
      </x:c>
      <x:c r="D46" s="26" t="n">
        <x:v>4138</x:v>
      </x:c>
      <x:c r="E46" s="26" t="n">
        <x:v>4091</x:v>
      </x:c>
      <x:c r="F46" s="26" t="n">
        <x:v>3705</x:v>
      </x:c>
      <x:c r="G46" s="2"/>
      <x:c r="H46" s="2" t="str">
        <x:v>FY:25 source</x:v>
      </x:c>
      <x:c r="I46" s="27" t="str">
        <x:v>https://corporate.target.com/getmedia/79214b4b-6331-4b1c-b76f-acff121b40f9/2025-Annual-Report-Target-Corporation.pdf</x:v>
      </x:c>
    </x:row>
    <x:row r="47" ht="21" customHeight="1">
      <x:c r="A47" s="2"/>
      <x:c r="B47" s="2"/>
      <x:c r="C47" s="2" t="str">
        <x:v>Total assets</x:v>
      </x:c>
      <x:c r="D47" s="26" t="n">
        <x:v>55356</x:v>
      </x:c>
      <x:c r="E47" s="26" t="n">
        <x:v>57769</x:v>
      </x:c>
      <x:c r="F47" s="26" t="n">
        <x:v>59490</x:v>
      </x:c>
      <x:c r="G47" s="2"/>
      <x:c r="H47" s="2"/>
      <x:c r="I47" s="2"/>
    </x:row>
    <x:row r="48" ht="21" customHeight="1">
      <x:c r="A48" s="2"/>
      <x:c r="B48" s="2"/>
      <x:c r="C48" s="2" t="str">
        <x:v>Direct total liabilities</x:v>
      </x:c>
      <x:c r="D48" s="26" t="str">
        <x:v>n.a.</x:v>
      </x:c>
      <x:c r="E48" s="26" t="str">
        <x:v>n.a.</x:v>
      </x:c>
      <x:c r="F48" s="26" t="str">
        <x:v>n.a.</x:v>
      </x:c>
      <x:c r="G48" s="2"/>
      <x:c r="H48" s="2"/>
      <x:c r="I48" s="2"/>
    </x:row>
    <x:row r="49" ht="21" customHeight="1">
      <x:c r="A49" s="2"/>
      <x:c r="B49" s="2"/>
      <x:c r="C49" s="2" t="str">
        <x:v>Consolidated equity</x:v>
      </x:c>
      <x:c r="D49" s="26" t="n">
        <x:v>13432</x:v>
      </x:c>
      <x:c r="E49" s="26" t="n">
        <x:v>14666</x:v>
      </x:c>
      <x:c r="F49" s="26" t="n">
        <x:v>16165</x:v>
      </x:c>
      <x:c r="G49" s="2"/>
      <x:c r="H49" s="2" t="str">
        <x:v>FY:23 SHA256</x:v>
      </x:c>
      <x:c r="I49" s="2" t="str">
        <x:v>c24cc99baecb31b3567b60c117a68a3e039299351b8bf17cf4846b9aa059fa5c</x:v>
      </x:c>
    </x:row>
    <x:row r="50" ht="21" customHeight="1">
      <x:c r="A50" s="2"/>
      <x:c r="B50" s="2"/>
      <x:c r="C50" s="2" t="str">
        <x:v>Cash and cash equivalents</x:v>
      </x:c>
      <x:c r="D50" s="26" t="n">
        <x:v>3805</x:v>
      </x:c>
      <x:c r="E50" s="26" t="n">
        <x:v>4762</x:v>
      </x:c>
      <x:c r="F50" s="26" t="n">
        <x:v>5488</x:v>
      </x:c>
      <x:c r="G50" s="2"/>
      <x:c r="H50" s="2" t="str">
        <x:v>FY:24 SHA256</x:v>
      </x:c>
      <x:c r="I50" s="2" t="str">
        <x:v>0ea59d72e596171693c01e46711ca63fd411da64d059f192a2e7dff2b6492271</x:v>
      </x:c>
    </x:row>
    <x:row r="51" ht="21" customHeight="1">
      <x:c r="A51" s="2"/>
      <x:c r="B51" s="2"/>
      <x:c r="C51" s="2" t="str">
        <x:v>Current assets</x:v>
      </x:c>
      <x:c r="D51" s="26" t="n">
        <x:v>17498</x:v>
      </x:c>
      <x:c r="E51" s="26" t="n">
        <x:v>19454</x:v>
      </x:c>
      <x:c r="F51" s="26" t="n">
        <x:v>20005</x:v>
      </x:c>
      <x:c r="G51" s="2"/>
      <x:c r="H51" s="2" t="str">
        <x:v>FY:25 SHA256</x:v>
      </x:c>
      <x:c r="I51" s="2" t="str">
        <x:v>ad0cd2a6e7c01a2e6b84525dfde0eef2d2fcde379ff17bed9bd969a140dde88c</x:v>
      </x:c>
    </x:row>
    <x:row r="52" ht="21" customHeight="1">
      <x:c r="A52" s="2"/>
      <x:c r="B52" s="2"/>
      <x:c r="C52" s="2" t="str">
        <x:v>Current liabilities</x:v>
      </x:c>
      <x:c r="D52" s="26" t="n">
        <x:v>19304</x:v>
      </x:c>
      <x:c r="E52" s="26" t="n">
        <x:v>20799</x:v>
      </x:c>
      <x:c r="F52" s="26" t="n">
        <x:v>21230</x:v>
      </x:c>
      <x:c r="G52" s="2"/>
      <x:c r="H52" s="2"/>
      <x:c r="I52" s="2"/>
    </x:row>
    <x:row r="53" ht="21" customHeight="1">
      <x:c r="A53" s="2"/>
      <x:c r="B53" s="2"/>
      <x:c r="C53" s="2" t="str">
        <x:v>Cash from operating activities</x:v>
      </x:c>
      <x:c r="D53" s="26" t="n">
        <x:v>8621</x:v>
      </x:c>
      <x:c r="E53" s="26" t="n">
        <x:v>7367</x:v>
      </x:c>
      <x:c r="F53" s="26" t="n">
        <x:v>6562</x:v>
      </x:c>
      <x:c r="G53" s="2"/>
      <x:c r="H53" s="2"/>
      <x:c r="I53" s="2"/>
    </x:row>
    <x:row r="54" ht="21" customHeight="1">
      <x:c r="A54" s="2"/>
      <x:c r="B54" s="2"/>
      <x:c r="C54" s="2" t="str">
        <x:v>Gross cash PPE purchases</x:v>
      </x:c>
      <x:c r="D54" s="26" t="n">
        <x:v>4806</x:v>
      </x:c>
      <x:c r="E54" s="26" t="n">
        <x:v>2891</x:v>
      </x:c>
      <x:c r="F54" s="26" t="n">
        <x:v>3727</x:v>
      </x:c>
      <x:c r="G54" s="2"/>
      <x:c r="H54" s="2" t="str">
        <x:v>Statement locators</x:v>
      </x:c>
      <x:c r="I54" s="2" t="str">
        <x:v>Numeric references and per-field source locators: data/references.json.</x:v>
      </x:c>
    </x:row>
    <x:row r="55" ht="21" customHeight="1">
      <x:c r="A55" s="2"/>
      <x:c r="B55" s="2"/>
      <x:c r="C55" s="2" t="str">
        <x:v>Direct depreciation / amortisation</x:v>
      </x:c>
      <x:c r="D55" s="26" t="n">
        <x:v>2801</x:v>
      </x:c>
      <x:c r="E55" s="26" t="n">
        <x:v>2981</x:v>
      </x:c>
      <x:c r="F55" s="26" t="n">
        <x:v>3134</x:v>
      </x:c>
      <x:c r="G55" s="2"/>
      <x:c r="H55" s="2"/>
      <x:c r="I55" s="2"/>
    </x:row>
    <x:row r="56" ht="21" customHeight="1">
      <x:c r="A56" s="2"/>
      <x:c r="B56" s="2"/>
      <x:c r="C56" s="2" t="str">
        <x:v>Beginning cash</x:v>
      </x:c>
      <x:c r="D56" s="26" t="n">
        <x:v>2229</x:v>
      </x:c>
      <x:c r="E56" s="26" t="n">
        <x:v>3805</x:v>
      </x:c>
      <x:c r="F56" s="26" t="n">
        <x:v>4762</x:v>
      </x:c>
      <x:c r="G56" s="2"/>
      <x:c r="H56" s="2"/>
      <x:c r="I56" s="2" t="str">
        <x:v>Total liabilities control sums current/noncurrent subtotals.</x:v>
      </x:c>
    </x:row>
    <x:row r="57" ht="21" customHeight="1">
      <x:c r="A57" s="2"/>
      <x:c r="B57" s="2"/>
      <x:c r="C57" s="2" t="str">
        <x:v>Investing cash flow</x:v>
      </x:c>
      <x:c r="D57" s="26" t="n">
        <x:v>-4760</x:v>
      </x:c>
      <x:c r="E57" s="26" t="n">
        <x:v>-2860</x:v>
      </x:c>
      <x:c r="F57" s="26" t="n">
        <x:v>-3649</x:v>
      </x:c>
      <x:c r="G57" s="2"/>
      <x:c r="H57" s="2"/>
      <x:c r="I57" s="2" t="str">
        <x:v>FY:23 has 53 weeks. FY:24 and FY:25 have 52 weeks.</x:v>
      </x:c>
    </x:row>
    <x:row r="58" ht="21" customHeight="1">
      <x:c r="A58" s="2"/>
      <x:c r="B58" s="2"/>
      <x:c r="C58" s="2" t="str">
        <x:v>Financing cash flow</x:v>
      </x:c>
      <x:c r="D58" s="26" t="n">
        <x:v>-2285</x:v>
      </x:c>
      <x:c r="E58" s="26" t="n">
        <x:v>-3550</x:v>
      </x:c>
      <x:c r="F58" s="26" t="n">
        <x:v>-2187</x:v>
      </x:c>
      <x:c r="G58" s="2"/>
      <x:c r="H58" s="2"/>
      <x:c r="I58" s="2"/>
    </x:row>
    <x:row r="59" ht="21" customHeight="1">
      <x:c r="A59" s="2"/>
      <x:c r="B59" s="2"/>
      <x:c r="C59" s="2" t="str">
        <x:v>FX effect on cash</x:v>
      </x:c>
      <x:c r="D59" s="26" t="n">
        <x:v>0</x:v>
      </x:c>
      <x:c r="E59" s="26" t="n">
        <x:v>0</x:v>
      </x:c>
      <x:c r="F59" s="26" t="n">
        <x:v>0</x:v>
      </x:c>
      <x:c r="G59" s="2"/>
      <x:c r="H59" s="2"/>
      <x:c r="I59" s="2"/>
    </x:row>
    <x:row r="60" ht="21" customHeight="1">
      <x:c r="A60" s="2"/>
      <x:c r="B60" s="2"/>
      <x:c r="C60" s="2" t="str">
        <x:v>Reported net cash change</x:v>
      </x:c>
      <x:c r="D60" s="26" t="n">
        <x:v>1576</x:v>
      </x:c>
      <x:c r="E60" s="26" t="n">
        <x:v>957</x:v>
      </x:c>
      <x:c r="F60" s="26" t="n">
        <x:v>726</x:v>
      </x:c>
      <x:c r="G60" s="2"/>
      <x:c r="H60" s="2"/>
      <x:c r="I60" s="2" t="str">
        <x:v>Cash proxies are historical accounting measures; they are not FCFF.</x:v>
      </x:c>
    </x:row>
    <x:row r="61" ht="21" customHeight="1">
      <x:c r="A61" s="2"/>
      <x:c r="B61" s="2"/>
      <x:c r="C61" s="2" t="str">
        <x:v>Noncurrent liabilities subtotal</x:v>
      </x:c>
      <x:c r="D61" s="26" t="n">
        <x:v>22620</x:v>
      </x:c>
      <x:c r="E61" s="26" t="n">
        <x:v>22304</x:v>
      </x:c>
      <x:c r="F61" s="26" t="n">
        <x:v>22095</x:v>
      </x:c>
      <x:c r="G61" s="2"/>
      <x:c r="H61" s="2"/>
      <x:c r="I61" s="2"/>
    </x:row>
    <x:row r="62" ht="21" customHeight="1">
      <x:c r="A62" s="2"/>
      <x:c r="B62" s="2"/>
      <x:c r="C62" s="2" t="str">
        <x:v>Combined PPE / intangibles cash</x:v>
      </x:c>
      <x:c r="D62" s="26" t="str">
        <x:v>n.a.</x:v>
      </x:c>
      <x:c r="E62" s="26" t="str">
        <x:v>n.a.</x:v>
      </x:c>
      <x:c r="F62" s="26" t="str">
        <x:v>n.a.</x:v>
      </x:c>
      <x:c r="G62" s="2"/>
      <x:c r="H62" s="2"/>
      <x:c r="I62" s="2"/>
    </x:row>
    <x:row r="63" ht="21" customHeight="1">
      <x:c r="A63" s="2"/>
      <x:c r="B63" s="2"/>
      <x:c r="C63" s="2" t="str">
        <x:v>Cash operations before tax</x:v>
      </x:c>
      <x:c r="D63" s="26" t="str">
        <x:v>n.a.</x:v>
      </x:c>
      <x:c r="E63" s="26" t="str">
        <x:v>n.a.</x:v>
      </x:c>
      <x:c r="F63" s="26" t="str">
        <x:v>n.a.</x:v>
      </x:c>
      <x:c r="G63" s="2"/>
      <x:c r="H63" s="2"/>
      <x:c r="I63" s="2"/>
    </x:row>
    <x:row r="64" ht="21" customHeight="1">
      <x:c r="A64" s="2"/>
      <x:c r="B64" s="2"/>
      <x:c r="C64" s="2" t="str">
        <x:v>Cash income taxes paid</x:v>
      </x:c>
      <x:c r="D64" s="26" t="str">
        <x:v>n.a.</x:v>
      </x:c>
      <x:c r="E64" s="26" t="str">
        <x:v>n.a.</x:v>
      </x:c>
      <x:c r="F64" s="26" t="str">
        <x:v>n.a.</x:v>
      </x:c>
      <x:c r="G64" s="2"/>
      <x:c r="H64" s="2"/>
      <x:c r="I64" s="2"/>
    </x:row>
    <x:row r="65" ht="21" customHeight="1">
      <x:c r="A65" s="2"/>
      <x:c r="B65" s="2"/>
      <x:c r="C65" s="2"/>
      <x:c r="D65" s="2"/>
      <x:c r="E65" s="2"/>
      <x:c r="F65" s="2"/>
      <x:c r="G65" s="2"/>
      <x:c r="H65" s="2"/>
      <x:c r="I65" s="2"/>
    </x:row>
    <x:row r="66" ht="21" customHeight="1">
      <x:c r="A66" s="2"/>
      <x:c r="B66" s="2"/>
      <x:c r="C66" s="31" t="str">
        <x:v>Operating margin</x:v>
      </x:c>
      <x:c r="D66" s="32" t="n">
        <x:f>D45/D44</x:f>
        <x:v>0.05313186608572599</x:v>
      </x:c>
      <x:c r="E66" s="32" t="n">
        <x:f>E45/E44</x:f>
        <x:v>0.052230542574554735</x:v>
      </x:c>
      <x:c r="F66" s="32" t="n">
        <x:f>F45/F44</x:f>
        <x:v>0.048835655659477</x:v>
      </x:c>
      <x:c r="G66" s="2"/>
      <x:c r="H66" s="2"/>
      <x:c r="I66" s="2"/>
    </x:row>
    <x:row r="67" ht="21" customHeight="1">
      <x:c r="A67" s="2"/>
      <x:c r="B67" s="2"/>
      <x:c r="C67" s="31" t="str">
        <x:v>Current ratio</x:v>
      </x:c>
      <x:c r="D67" s="33" t="n">
        <x:f>D51/D52</x:f>
        <x:v>0.9064442602569416</x:v>
      </x:c>
      <x:c r="E67" s="33" t="n">
        <x:f>E51/E52</x:f>
        <x:v>0.9353334294918025</x:v>
      </x:c>
      <x:c r="F67" s="33" t="n">
        <x:f>F51/F52</x:f>
        <x:v>0.9422986340084786</x:v>
      </x:c>
      <x:c r="G67" s="2"/>
      <x:c r="H67" s="2"/>
      <x:c r="I67" s="2"/>
    </x:row>
    <x:row r="68" ht="21" customHeight="1">
      <x:c r="A68" s="2"/>
      <x:c r="B68" s="2"/>
      <x:c r="C68" s="31" t="str">
        <x:v>CFO / consolidated net income</x:v>
      </x:c>
      <x:c r="D68" s="33" t="n">
        <x:f>D53/D46</x:f>
        <x:v>2.083373610439826</x:v>
      </x:c>
      <x:c r="E68" s="33" t="n">
        <x:f>E53/E46</x:f>
        <x:v>1.8007822048398925</x:v>
      </x:c>
      <x:c r="F68" s="33" t="n">
        <x:f>F53/F46</x:f>
        <x:v>1.7711201079622132</x:v>
      </x:c>
      <x:c r="G68" s="2"/>
      <x:c r="H68" s="2"/>
      <x:c r="I68" s="2"/>
    </x:row>
    <x:row r="69" ht="21" customHeight="1">
      <x:c r="A69" s="2"/>
      <x:c r="B69" s="2"/>
      <x:c r="C69" s="2" t="str">
        <x:v>CFO less pure cash PPE</x:v>
      </x:c>
      <x:c r="D69" s="34" t="n">
        <x:f>IF(ISNUMBER(D54),D53-D54,"n.a.")</x:f>
        <x:v>3815</x:v>
      </x:c>
      <x:c r="E69" s="34" t="n">
        <x:f>IF(ISNUMBER(E54),E53-E54,"n.a.")</x:f>
        <x:v>4476</x:v>
      </x:c>
      <x:c r="F69" s="34" t="n">
        <x:f>IF(ISNUMBER(F54),F53-F54,"n.a.")</x:f>
        <x:v>2835</x:v>
      </x:c>
      <x:c r="G69" s="2"/>
      <x:c r="H69" s="2"/>
      <x:c r="I69" s="2"/>
    </x:row>
    <x:row r="70" ht="21" customHeight="1">
      <x:c r="A70" s="2"/>
      <x:c r="B70" s="2"/>
      <x:c r="C70" s="2" t="str">
        <x:v>CFO less combined PPE / intangibles</x:v>
      </x:c>
      <x:c r="D70" s="34" t="str">
        <x:f>IF(ISNUMBER(D62),D53-D62,"n.a.")</x:f>
        <x:v>n.a.</x:v>
      </x:c>
      <x:c r="E70" s="34" t="str">
        <x:f>IF(ISNUMBER(E62),E53-E62,"n.a.")</x:f>
        <x:v>n.a.</x:v>
      </x:c>
      <x:c r="F70" s="34" t="str">
        <x:f>IF(ISNUMBER(F62),F53-F62,"n.a.")</x:f>
        <x:v>n.a.</x:v>
      </x:c>
      <x:c r="G70" s="2"/>
      <x:c r="H70" s="2"/>
      <x:c r="I70" s="2"/>
    </x:row>
    <x:row r="71" ht="21" customHeight="1">
      <x:c r="A71" s="2"/>
      <x:c r="B71" s="2"/>
      <x:c r="C71" s="31" t="str">
        <x:v>Revenue growth</x:v>
      </x:c>
      <x:c r="D71" s="32" t="str">
        <x:v>n.a.</x:v>
      </x:c>
      <x:c r="E71" s="32" t="n">
        <x:f>E44/D44-1</x:f>
        <x:v>-0.007876214948050464</x:v>
      </x:c>
      <x:c r="F71" s="32" t="n">
        <x:f>F44/E44-1</x:f>
        <x:v>-0.016759566841206386</x:v>
      </x:c>
      <x:c r="G71" s="2"/>
      <x:c r="H71" s="2"/>
      <x:c r="I71" s="2"/>
    </x:row>
    <x:row r="72" ht="21" customHeight="1">
      <x:c r="A72" s="2"/>
      <x:c r="B72" s="2"/>
      <x:c r="C72" s="2" t="str">
        <x:v>Cash-flow sum residual</x:v>
      </x:c>
      <x:c r="D72" s="35" t="n">
        <x:f>D53+SUM(D57:D59)-(D50-D56)</x:f>
        <x:v>0</x:v>
      </x:c>
      <x:c r="E72" s="35" t="n">
        <x:f>E53+SUM(E57:E59)-(E50-E56)</x:f>
        <x:v>0</x:v>
      </x:c>
      <x:c r="F72" s="35" t="n">
        <x:f>F53+SUM(F57:F59)-(F50-F56)</x:f>
        <x:v>0</x:v>
      </x:c>
      <x:c r="G72" s="2"/>
      <x:c r="H72" s="2"/>
      <x:c r="I72" s="2"/>
    </x:row>
    <x:row r="73" ht="21" customHeight="1">
      <x:c r="A73" s="2"/>
      <x:c r="B73" s="2"/>
      <x:c r="C73" s="2" t="str">
        <x:v>Balance identity residual</x:v>
      </x:c>
      <x:c r="D73" s="35" t="n">
        <x:f>D47-(D52+D61)-D49</x:f>
        <x:v>0</x:v>
      </x:c>
      <x:c r="E73" s="35" t="n">
        <x:f>E47-(E52+E61)-E49</x:f>
        <x:v>0</x:v>
      </x:c>
      <x:c r="F73" s="35" t="n">
        <x:f>F47-(F52+F61)-F49</x:f>
        <x:v>0</x:v>
      </x:c>
      <x:c r="G73" s="2"/>
      <x:c r="H73" s="2"/>
      <x:c r="I73" s="2"/>
    </x:row>
    <x:row r="74" ht="21" customHeight="1">
      <x:c r="A74" s="2"/>
      <x:c r="B74" s="2"/>
      <x:c r="C74" s="2" t="str">
        <x:v>Ending-cash bridge residual</x:v>
      </x:c>
      <x:c r="D74" s="35" t="n">
        <x:f>D56+D60+D59-D50</x:f>
        <x:v>0</x:v>
      </x:c>
      <x:c r="E74" s="35" t="n">
        <x:f>E56+E60+E59-E50</x:f>
        <x:v>0</x:v>
      </x:c>
      <x:c r="F74" s="35" t="n">
        <x:f>F56+F60+F59-F50</x:f>
        <x:v>0</x:v>
      </x:c>
      <x:c r="G74" s="2"/>
      <x:c r="H74" s="2"/>
      <x:c r="I74" s="2"/>
    </x:row>
    <x:row r="75" ht="21" customHeight="1">
      <x:c r="A75" s="2"/>
      <x:c r="B75" s="2"/>
      <x:c r="C75" s="2"/>
      <x:c r="D75" s="2"/>
      <x:c r="E75" s="2"/>
      <x:c r="F75" s="2"/>
      <x:c r="G75" s="2"/>
      <x:c r="H75" s="2"/>
      <x:c r="I75" s="2"/>
    </x:row>
    <x:row r="76" ht="21" customHeight="1">
      <x:c r="A76" s="2"/>
      <x:c r="B76" s="2"/>
      <x:c r="C76" s="2"/>
      <x:c r="D76" s="2"/>
      <x:c r="E76" s="2"/>
      <x:c r="F76" s="2"/>
      <x:c r="G76" s="2"/>
      <x:c r="H76" s="2"/>
      <x:c r="I76" s="2"/>
    </x:row>
    <x:row r="77" ht="21" customHeight="1">
      <x:c r="A77" s="2"/>
      <x:c r="B77" s="2"/>
      <x:c r="C77" s="2"/>
      <x:c r="D77" s="2"/>
      <x:c r="E77" s="2"/>
      <x:c r="F77" s="2"/>
      <x:c r="G77" s="2"/>
      <x:c r="H77" s="2"/>
      <x:c r="I77" s="2"/>
    </x:row>
    <x:row r="78" ht="21" customHeight="1">
      <x:c r="A78" s="2"/>
      <x:c r="B78" s="2"/>
      <x:c r="C78" s="2"/>
      <x:c r="D78" s="2"/>
      <x:c r="E78" s="2"/>
      <x:c r="F78" s="2"/>
      <x:c r="G78" s="2"/>
      <x:c r="H78" s="2"/>
      <x:c r="I78" s="2"/>
    </x:row>
    <x:row r="79" ht="36" customHeight="1">
      <x:c r="A79" s="2"/>
      <x:c r="B79" s="2"/>
      <x:c r="C79" s="19" t="str">
        <x:v>INFY</x:v>
      </x:c>
      <x:c r="D79" s="22" t="str">
        <x:v>FY:23</x:v>
      </x:c>
      <x:c r="E79" s="22" t="str">
        <x:v>FY:24</x:v>
      </x:c>
      <x:c r="F79" s="23" t="str">
        <x:v>FY:25</x:v>
      </x:c>
      <x:c r="G79" s="2"/>
      <x:c r="H79" s="2"/>
      <x:c r="I79" s="2"/>
    </x:row>
    <x:row r="80" ht="21" customHeight="1">
      <x:c r="A80" s="2"/>
      <x:c r="B80" s="2"/>
      <x:c r="C80" s="2"/>
      <x:c r="D80" s="2"/>
      <x:c r="E80" s="2"/>
      <x:c r="F80" s="2"/>
      <x:c r="G80" s="2"/>
      <x:c r="H80" s="2"/>
      <x:c r="I80" s="2"/>
    </x:row>
    <x:row r="81" ht="34" customHeight="1">
      <x:c r="A81" s="2"/>
      <x:c r="B81" s="2"/>
      <x:c r="C81" s="2" t="str">
        <x:v>Revenue / total net sales</x:v>
      </x:c>
      <x:c r="D81" s="26" t="n">
        <x:v>18212</x:v>
      </x:c>
      <x:c r="E81" s="26" t="n">
        <x:v>18562</x:v>
      </x:c>
      <x:c r="F81" s="26" t="n">
        <x:v>19277</x:v>
      </x:c>
      <x:c r="G81" s="2"/>
      <x:c r="H81" s="2" t="str">
        <x:v>FY:23 source</x:v>
      </x:c>
      <x:c r="I81" s="27" t="str">
        <x:v>https://www.infosys.com/investors/reports-filings/annual-report/form20f/documents/form20f-2023.pdf</x:v>
      </x:c>
    </x:row>
    <x:row r="82" ht="34" customHeight="1">
      <x:c r="A82" s="2"/>
      <x:c r="B82" s="2"/>
      <x:c r="C82" s="2" t="str">
        <x:v>Reported operating income</x:v>
      </x:c>
      <x:c r="D82" s="26" t="n">
        <x:v>3825</x:v>
      </x:c>
      <x:c r="E82" s="26" t="n">
        <x:v>3834</x:v>
      </x:c>
      <x:c r="F82" s="26" t="n">
        <x:v>4071</x:v>
      </x:c>
      <x:c r="G82" s="2"/>
      <x:c r="H82" s="2" t="str">
        <x:v>FY:24 source</x:v>
      </x:c>
      <x:c r="I82" s="27" t="str">
        <x:v>https://www.infosys.com/investors/reports-filings/annual-report/form20f/documents/form20f-2024.pdf</x:v>
      </x:c>
    </x:row>
    <x:row r="83" ht="34" customHeight="1">
      <x:c r="A83" s="2"/>
      <x:c r="B83" s="2"/>
      <x:c r="C83" s="2" t="str">
        <x:v>Consolidated net income</x:v>
      </x:c>
      <x:c r="D83" s="26" t="n">
        <x:v>2983</x:v>
      </x:c>
      <x:c r="E83" s="26" t="n">
        <x:v>3169</x:v>
      </x:c>
      <x:c r="F83" s="26" t="n">
        <x:v>3162</x:v>
      </x:c>
      <x:c r="G83" s="2"/>
      <x:c r="H83" s="2" t="str">
        <x:v>FY:25 source</x:v>
      </x:c>
      <x:c r="I83" s="27" t="str">
        <x:v>https://www.infosys.com/investors/documents/exchange-filings/2025/form20f-2025.pdf</x:v>
      </x:c>
    </x:row>
    <x:row r="84" ht="21" customHeight="1">
      <x:c r="A84" s="2"/>
      <x:c r="B84" s="2"/>
      <x:c r="C84" s="2" t="str">
        <x:v>Total assets</x:v>
      </x:c>
      <x:c r="D84" s="26" t="n">
        <x:v>15312</x:v>
      </x:c>
      <x:c r="E84" s="26" t="n">
        <x:v>16523</x:v>
      </x:c>
      <x:c r="F84" s="26" t="n">
        <x:v>17419</x:v>
      </x:c>
      <x:c r="G84" s="2"/>
      <x:c r="H84" s="2"/>
      <x:c r="I84" s="2"/>
    </x:row>
    <x:row r="85" ht="21" customHeight="1">
      <x:c r="A85" s="2"/>
      <x:c r="B85" s="2"/>
      <x:c r="C85" s="2" t="str">
        <x:v>Direct total liabilities</x:v>
      </x:c>
      <x:c r="D85" s="26" t="n">
        <x:v>6088</x:v>
      </x:c>
      <x:c r="E85" s="26" t="n">
        <x:v>5918</x:v>
      </x:c>
      <x:c r="F85" s="26" t="n">
        <x:v>6164</x:v>
      </x:c>
      <x:c r="G85" s="2"/>
      <x:c r="H85" s="2"/>
      <x:c r="I85" s="2"/>
    </x:row>
    <x:row r="86" ht="21" customHeight="1">
      <x:c r="A86" s="2"/>
      <x:c r="B86" s="2"/>
      <x:c r="C86" s="2" t="str">
        <x:v>Consolidated equity</x:v>
      </x:c>
      <x:c r="D86" s="26" t="n">
        <x:v>9224</x:v>
      </x:c>
      <x:c r="E86" s="26" t="n">
        <x:v>10605</x:v>
      </x:c>
      <x:c r="F86" s="26" t="n">
        <x:v>11255</x:v>
      </x:c>
      <x:c r="G86" s="2"/>
      <x:c r="H86" s="2" t="str">
        <x:v>FY:23 SHA256</x:v>
      </x:c>
      <x:c r="I86" s="2" t="str">
        <x:v>0484191d2705ca420f7324bfce2881acbd2ae204c8b1d87acaff6af7d43aa4c4</x:v>
      </x:c>
    </x:row>
    <x:row r="87" ht="21" customHeight="1">
      <x:c r="A87" s="2"/>
      <x:c r="B87" s="2"/>
      <x:c r="C87" s="2" t="str">
        <x:v>Cash and cash equivalents</x:v>
      </x:c>
      <x:c r="D87" s="26" t="n">
        <x:v>1481</x:v>
      </x:c>
      <x:c r="E87" s="26" t="n">
        <x:v>1773</x:v>
      </x:c>
      <x:c r="F87" s="26" t="n">
        <x:v>2861</x:v>
      </x:c>
      <x:c r="G87" s="2"/>
      <x:c r="H87" s="2" t="str">
        <x:v>FY:24 SHA256</x:v>
      </x:c>
      <x:c r="I87" s="2" t="str">
        <x:v>5c4fcad9c7204f6bae8945f2b54bb1c3a5efd06203e8bd1619da946ded4e1072</x:v>
      </x:c>
    </x:row>
    <x:row r="88" ht="21" customHeight="1">
      <x:c r="A88" s="2"/>
      <x:c r="B88" s="2"/>
      <x:c r="C88" s="2" t="str">
        <x:v>Current assets</x:v>
      </x:c>
      <x:c r="D88" s="26" t="n">
        <x:v>8626</x:v>
      </x:c>
      <x:c r="E88" s="26" t="n">
        <x:v>10722</x:v>
      </x:c>
      <x:c r="F88" s="26" t="n">
        <x:v>11359</x:v>
      </x:c>
      <x:c r="G88" s="2"/>
      <x:c r="H88" s="2" t="str">
        <x:v>FY:25 SHA256</x:v>
      </x:c>
      <x:c r="I88" s="2" t="str">
        <x:v>eeb58b8a27df8b15b0c9ac5ee4cc01dcb9b460c597a07d00334ded10860412c8</x:v>
      </x:c>
    </x:row>
    <x:row r="89" ht="21" customHeight="1">
      <x:c r="A89" s="2"/>
      <x:c r="B89" s="2"/>
      <x:c r="C89" s="2" t="str">
        <x:v>Current liabilities</x:v>
      </x:c>
      <x:c r="D89" s="26" t="n">
        <x:v>4769</x:v>
      </x:c>
      <x:c r="E89" s="26" t="n">
        <x:v>4651</x:v>
      </x:c>
      <x:c r="F89" s="26" t="n">
        <x:v>5012</x:v>
      </x:c>
      <x:c r="G89" s="2"/>
      <x:c r="H89" s="2"/>
      <x:c r="I89" s="2"/>
    </x:row>
    <x:row r="90" ht="21" customHeight="1">
      <x:c r="A90" s="2"/>
      <x:c r="B90" s="2"/>
      <x:c r="C90" s="2" t="str">
        <x:v>Cash from operating activities</x:v>
      </x:c>
      <x:c r="D90" s="26" t="n">
        <x:v>2853</x:v>
      </x:c>
      <x:c r="E90" s="26" t="n">
        <x:v>3148</x:v>
      </x:c>
      <x:c r="F90" s="26" t="n">
        <x:v>4351</x:v>
      </x:c>
      <x:c r="G90" s="2"/>
      <x:c r="H90" s="2"/>
      <x:c r="I90" s="2"/>
    </x:row>
    <x:row r="91" ht="21" customHeight="1">
      <x:c r="A91" s="2"/>
      <x:c r="B91" s="2"/>
      <x:c r="C91" s="2" t="str">
        <x:v>Gross cash PPE purchases</x:v>
      </x:c>
      <x:c r="D91" s="26" t="str">
        <x:v>n.a.</x:v>
      </x:c>
      <x:c r="E91" s="26" t="str">
        <x:v>n.a.</x:v>
      </x:c>
      <x:c r="F91" s="26" t="str">
        <x:v>n.a.</x:v>
      </x:c>
      <x:c r="G91" s="2"/>
      <x:c r="H91" s="2" t="str">
        <x:v>Statement locators</x:v>
      </x:c>
      <x:c r="I91" s="2" t="str">
        <x:v>Numeric references and per-field source locators: data/references.json.</x:v>
      </x:c>
    </x:row>
    <x:row r="92" ht="21" customHeight="1">
      <x:c r="A92" s="2"/>
      <x:c r="B92" s="2"/>
      <x:c r="C92" s="2" t="str">
        <x:v>Direct depreciation / amortisation</x:v>
      </x:c>
      <x:c r="D92" s="26" t="n">
        <x:v>524</x:v>
      </x:c>
      <x:c r="E92" s="26" t="n">
        <x:v>565</x:v>
      </x:c>
      <x:c r="F92" s="26" t="n">
        <x:v>569</x:v>
      </x:c>
      <x:c r="G92" s="2"/>
      <x:c r="H92" s="2"/>
      <x:c r="I92" s="2"/>
    </x:row>
    <x:row r="93" ht="21" customHeight="1">
      <x:c r="A93" s="2"/>
      <x:c r="B93" s="2"/>
      <x:c r="C93" s="2" t="str">
        <x:v>Beginning cash</x:v>
      </x:c>
      <x:c r="D93" s="26" t="n">
        <x:v>2305</x:v>
      </x:c>
      <x:c r="E93" s="26" t="n">
        <x:v>1481</x:v>
      </x:c>
      <x:c r="F93" s="26" t="n">
        <x:v>1773</x:v>
      </x:c>
      <x:c r="G93" s="2"/>
      <x:c r="H93" s="2"/>
      <x:c r="I93" s="2" t="str">
        <x:v>PPE cash includes intangibles only in the separately labelled row.</x:v>
      </x:c>
    </x:row>
    <x:row r="94" ht="21" customHeight="1">
      <x:c r="A94" s="2"/>
      <x:c r="B94" s="2"/>
      <x:c r="C94" s="2" t="str">
        <x:v>Investing cash flow</x:v>
      </x:c>
      <x:c r="D94" s="26" t="n">
        <x:v>-218</x:v>
      </x:c>
      <x:c r="E94" s="26" t="n">
        <x:v>-708</x:v>
      </x:c>
      <x:c r="F94" s="26" t="n">
        <x:v>-361</x:v>
      </x:c>
      <x:c r="G94" s="2"/>
      <x:c r="H94" s="2"/>
      <x:c r="I94" s="2" t="str">
        <x:v>IFRS lease and interest classification is retained.</x:v>
      </x:c>
    </x:row>
    <x:row r="95" ht="21" customHeight="1">
      <x:c r="A95" s="2"/>
      <x:c r="B95" s="2"/>
      <x:c r="C95" s="2" t="str">
        <x:v>Financing cash flow</x:v>
      </x:c>
      <x:c r="D95" s="26" t="n">
        <x:v>-3288</x:v>
      </x:c>
      <x:c r="E95" s="26" t="n">
        <x:v>-2116</x:v>
      </x:c>
      <x:c r="F95" s="26" t="n">
        <x:v>-2875</x:v>
      </x:c>
      <x:c r="G95" s="2"/>
      <x:c r="H95" s="2"/>
      <x:c r="I95" s="2"/>
    </x:row>
    <x:row r="96" ht="21" customHeight="1">
      <x:c r="A96" s="2"/>
      <x:c r="B96" s="2"/>
      <x:c r="C96" s="2" t="str">
        <x:v>FX effect on cash</x:v>
      </x:c>
      <x:c r="D96" s="26" t="n">
        <x:v>-171</x:v>
      </x:c>
      <x:c r="E96" s="26" t="n">
        <x:v>-32</x:v>
      </x:c>
      <x:c r="F96" s="26" t="n">
        <x:v>-27</x:v>
      </x:c>
      <x:c r="G96" s="2"/>
      <x:c r="H96" s="2"/>
      <x:c r="I96" s="2"/>
    </x:row>
    <x:row r="97" ht="21" customHeight="1">
      <x:c r="A97" s="2"/>
      <x:c r="B97" s="2"/>
      <x:c r="C97" s="2" t="str">
        <x:v>Reported net cash change</x:v>
      </x:c>
      <x:c r="D97" s="26" t="n">
        <x:v>-653</x:v>
      </x:c>
      <x:c r="E97" s="26" t="n">
        <x:v>324</x:v>
      </x:c>
      <x:c r="F97" s="26" t="n">
        <x:v>1115</x:v>
      </x:c>
      <x:c r="G97" s="2"/>
      <x:c r="H97" s="2"/>
      <x:c r="I97" s="2" t="str">
        <x:v>Cash proxies are historical accounting measures; they are not FCFF.</x:v>
      </x:c>
    </x:row>
    <x:row r="98" ht="21" customHeight="1">
      <x:c r="A98" s="2"/>
      <x:c r="B98" s="2"/>
      <x:c r="C98" s="2" t="str">
        <x:v>Noncurrent liabilities subtotal</x:v>
      </x:c>
      <x:c r="D98" s="26" t="str">
        <x:v>n.a.</x:v>
      </x:c>
      <x:c r="E98" s="26" t="str">
        <x:v>n.a.</x:v>
      </x:c>
      <x:c r="F98" s="26" t="str">
        <x:v>n.a.</x:v>
      </x:c>
      <x:c r="G98" s="2"/>
      <x:c r="H98" s="2"/>
      <x:c r="I98" s="2"/>
    </x:row>
    <x:row r="99" ht="21" customHeight="1">
      <x:c r="A99" s="2"/>
      <x:c r="B99" s="2"/>
      <x:c r="C99" s="2" t="str">
        <x:v>Combined PPE / intangibles cash</x:v>
      </x:c>
      <x:c r="D99" s="26" t="n">
        <x:v>319</x:v>
      </x:c>
      <x:c r="E99" s="26" t="n">
        <x:v>266</x:v>
      </x:c>
      <x:c r="F99" s="26" t="n">
        <x:v>263</x:v>
      </x:c>
      <x:c r="G99" s="2"/>
      <x:c r="H99" s="2"/>
      <x:c r="I99" s="2"/>
    </x:row>
    <x:row r="100" ht="21" customHeight="1">
      <x:c r="A100" s="2"/>
      <x:c r="B100" s="2"/>
      <x:c r="C100" s="2" t="str">
        <x:v>Cash operations before tax</x:v>
      </x:c>
      <x:c r="D100" s="26" t="n">
        <x:v>3941</x:v>
      </x:c>
      <x:c r="E100" s="26" t="n">
        <x:v>4262</x:v>
      </x:c>
      <x:c r="F100" s="26" t="n">
        <x:v>5013</x:v>
      </x:c>
      <x:c r="G100" s="2"/>
      <x:c r="H100" s="2"/>
      <x:c r="I100" s="2"/>
    </x:row>
    <x:row r="101" ht="21" customHeight="1">
      <x:c r="A101" s="2"/>
      <x:c r="B101" s="2"/>
      <x:c r="C101" s="2" t="str">
        <x:v>Cash income taxes paid</x:v>
      </x:c>
      <x:c r="D101" s="26" t="n">
        <x:v>1088</x:v>
      </x:c>
      <x:c r="E101" s="26" t="n">
        <x:v>1114</x:v>
      </x:c>
      <x:c r="F101" s="26" t="n">
        <x:v>662</x:v>
      </x:c>
      <x:c r="G101" s="2"/>
      <x:c r="H101" s="2"/>
      <x:c r="I101" s="2"/>
    </x:row>
    <x:row r="102" ht="21" customHeight="1">
      <x:c r="A102" s="2"/>
      <x:c r="B102" s="2"/>
      <x:c r="C102" s="2"/>
      <x:c r="D102" s="2"/>
      <x:c r="E102" s="2"/>
      <x:c r="F102" s="2"/>
      <x:c r="G102" s="2"/>
      <x:c r="H102" s="2"/>
      <x:c r="I102" s="2"/>
    </x:row>
    <x:row r="103" ht="21" customHeight="1">
      <x:c r="A103" s="2"/>
      <x:c r="B103" s="2"/>
      <x:c r="C103" s="31" t="str">
        <x:v>Operating margin</x:v>
      </x:c>
      <x:c r="D103" s="32" t="n">
        <x:f>D82/D81</x:f>
        <x:v>0.21002635624862728</x:v>
      </x:c>
      <x:c r="E103" s="32" t="n">
        <x:f>E82/E81</x:f>
        <x:v>0.20655101820924468</x:v>
      </x:c>
      <x:c r="F103" s="32" t="n">
        <x:f>F82/F81</x:f>
        <x:v>0.21118431291176012</x:v>
      </x:c>
      <x:c r="G103" s="2"/>
      <x:c r="H103" s="2"/>
      <x:c r="I103" s="2"/>
    </x:row>
    <x:row r="104" ht="21" customHeight="1">
      <x:c r="A104" s="2"/>
      <x:c r="B104" s="2"/>
      <x:c r="C104" s="31" t="str">
        <x:v>Current ratio</x:v>
      </x:c>
      <x:c r="D104" s="33" t="n">
        <x:f>D88/D89</x:f>
        <x:v>1.8087649402390438</x:v>
      </x:c>
      <x:c r="E104" s="33" t="n">
        <x:f>E88/E89</x:f>
        <x:v>2.3053106858740056</x:v>
      </x:c>
      <x:c r="F104" s="33" t="n">
        <x:f>F88/F89</x:f>
        <x:v>2.2663607342378294</x:v>
      </x:c>
      <x:c r="G104" s="2"/>
      <x:c r="H104" s="2"/>
      <x:c r="I104" s="2"/>
    </x:row>
    <x:row r="105" ht="21" customHeight="1">
      <x:c r="A105" s="2"/>
      <x:c r="B105" s="2"/>
      <x:c r="C105" s="31" t="str">
        <x:v>CFO / consolidated net income</x:v>
      </x:c>
      <x:c r="D105" s="33" t="n">
        <x:f>D90/D83</x:f>
        <x:v>0.9564197116996312</x:v>
      </x:c>
      <x:c r="E105" s="33" t="n">
        <x:f>E90/E83</x:f>
        <x:v>0.9933733038813506</x:v>
      </x:c>
      <x:c r="F105" s="33" t="n">
        <x:f>F90/F83</x:f>
        <x:v>1.3760278304870335</x:v>
      </x:c>
      <x:c r="G105" s="2"/>
      <x:c r="H105" s="2"/>
      <x:c r="I105" s="2"/>
    </x:row>
    <x:row r="106" ht="21" customHeight="1">
      <x:c r="A106" s="2"/>
      <x:c r="B106" s="2"/>
      <x:c r="C106" s="2" t="str">
        <x:v>CFO less pure cash PPE</x:v>
      </x:c>
      <x:c r="D106" s="34" t="str">
        <x:f>IF(ISNUMBER(D91),D90-D91,"n.a.")</x:f>
        <x:v>n.a.</x:v>
      </x:c>
      <x:c r="E106" s="34" t="str">
        <x:f>IF(ISNUMBER(E91),E90-E91,"n.a.")</x:f>
        <x:v>n.a.</x:v>
      </x:c>
      <x:c r="F106" s="34" t="str">
        <x:f>IF(ISNUMBER(F91),F90-F91,"n.a.")</x:f>
        <x:v>n.a.</x:v>
      </x:c>
      <x:c r="G106" s="2"/>
      <x:c r="H106" s="2"/>
      <x:c r="I106" s="2"/>
    </x:row>
    <x:row r="107" ht="21" customHeight="1">
      <x:c r="A107" s="2"/>
      <x:c r="B107" s="2"/>
      <x:c r="C107" s="2" t="str">
        <x:v>CFO less combined PPE / intangibles</x:v>
      </x:c>
      <x:c r="D107" s="34" t="n">
        <x:f>IF(ISNUMBER(D99),D90-D99,"n.a.")</x:f>
        <x:v>2534</x:v>
      </x:c>
      <x:c r="E107" s="34" t="n">
        <x:f>IF(ISNUMBER(E99),E90-E99,"n.a.")</x:f>
        <x:v>2882</x:v>
      </x:c>
      <x:c r="F107" s="34" t="n">
        <x:f>IF(ISNUMBER(F99),F90-F99,"n.a.")</x:f>
        <x:v>4088</x:v>
      </x:c>
      <x:c r="G107" s="2"/>
      <x:c r="H107" s="2"/>
      <x:c r="I107" s="2"/>
    </x:row>
    <x:row r="108" ht="21" customHeight="1">
      <x:c r="A108" s="2"/>
      <x:c r="B108" s="2"/>
      <x:c r="C108" s="31" t="str">
        <x:v>Revenue growth</x:v>
      </x:c>
      <x:c r="D108" s="32" t="str">
        <x:v>n.a.</x:v>
      </x:c>
      <x:c r="E108" s="32" t="n">
        <x:f>E81/D81-1</x:f>
        <x:v>0.019218097957390823</x:v>
      </x:c>
      <x:c r="F108" s="32" t="n">
        <x:f>F81/E81-1</x:f>
        <x:v>0.03851955608231861</x:v>
      </x:c>
      <x:c r="G108" s="2"/>
      <x:c r="H108" s="2"/>
      <x:c r="I108" s="2"/>
    </x:row>
    <x:row r="109" ht="21" customHeight="1">
      <x:c r="A109" s="2"/>
      <x:c r="B109" s="2"/>
      <x:c r="C109" s="2" t="str">
        <x:v>Cash-flow sum residual</x:v>
      </x:c>
      <x:c r="D109" s="35" t="n">
        <x:f>D90+SUM(D94:D96)-(D87-D93)</x:f>
        <x:v>0</x:v>
      </x:c>
      <x:c r="E109" s="35" t="n">
        <x:f>E90+SUM(E94:E96)-(E87-E93)</x:f>
        <x:v>0</x:v>
      </x:c>
      <x:c r="F109" s="35" t="n">
        <x:f>F90+SUM(F94:F96)-(F87-F93)</x:f>
        <x:v>0</x:v>
      </x:c>
      <x:c r="G109" s="2"/>
      <x:c r="H109" s="2"/>
      <x:c r="I109" s="2"/>
    </x:row>
    <x:row r="110" ht="21" customHeight="1">
      <x:c r="A110" s="2"/>
      <x:c r="B110" s="2"/>
      <x:c r="C110" s="2" t="str">
        <x:v>Balance identity residual</x:v>
      </x:c>
      <x:c r="D110" s="35" t="n">
        <x:f>D84-D85-D86</x:f>
        <x:v>0</x:v>
      </x:c>
      <x:c r="E110" s="35" t="n">
        <x:f>E84-E85-E86</x:f>
        <x:v>0</x:v>
      </x:c>
      <x:c r="F110" s="35" t="n">
        <x:f>F84-F85-F86</x:f>
        <x:v>0</x:v>
      </x:c>
      <x:c r="G110" s="2"/>
      <x:c r="H110" s="2"/>
      <x:c r="I110" s="2"/>
    </x:row>
    <x:row r="111" ht="21" customHeight="1">
      <x:c r="A111" s="2"/>
      <x:c r="B111" s="2"/>
      <x:c r="C111" s="2" t="str">
        <x:v>Ending-cash bridge residual</x:v>
      </x:c>
      <x:c r="D111" s="35" t="n">
        <x:f>D93+D97+D96-D87</x:f>
        <x:v>0</x:v>
      </x:c>
      <x:c r="E111" s="35" t="n">
        <x:f>E93+E97+E96-E87</x:f>
        <x:v>0</x:v>
      </x:c>
      <x:c r="F111" s="35" t="n">
        <x:f>F93+F97+F96-F87</x:f>
        <x:v>0</x:v>
      </x:c>
      <x:c r="G111" s="2"/>
      <x:c r="H111" s="2"/>
      <x:c r="I111" s="2"/>
    </x:row>
    <x:row r="112" ht="21" customHeight="1">
      <x:c r="A112" s="2"/>
      <x:c r="B112" s="2"/>
      <x:c r="C112" s="2"/>
      <x:c r="D112" s="2"/>
      <x:c r="E112" s="2"/>
      <x:c r="F112" s="2"/>
      <x:c r="G112" s="2"/>
      <x:c r="H112" s="2"/>
      <x:c r="I112" s="2"/>
    </x:row>
    <x:row r="113" ht="21" customHeight="1">
      <x:c r="A113" s="2"/>
      <x:c r="B113" s="2"/>
      <x:c r="C113" s="2"/>
      <x:c r="D113" s="2"/>
      <x:c r="E113" s="2"/>
      <x:c r="F113" s="2"/>
      <x:c r="G113" s="2"/>
      <x:c r="H113" s="2"/>
      <x:c r="I113" s="2"/>
    </x:row>
    <x:row r="114" ht="21" customHeight="1">
      <x:c r="A114" s="2"/>
      <x:c r="B114" s="2"/>
      <x:c r="C114" s="2"/>
      <x:c r="D114" s="2"/>
      <x:c r="E114" s="2"/>
      <x:c r="F114" s="2"/>
      <x:c r="G114" s="2"/>
      <x:c r="H114" s="2"/>
      <x:c r="I114" s="2"/>
    </x:row>
  </x:sheetData>
  <x:conditionalFormatting sqref="D35:F37">
    <x:cfRule type="expression" dxfId="0" priority="1">
      <x:formula>ABS(D35)&gt;0.000001</x:formula>
    </x:cfRule>
  </x:conditionalFormatting>
  <x:conditionalFormatting sqref="D72:F74">
    <x:cfRule type="expression" dxfId="1" priority="2">
      <x:formula>ABS(D72)&gt;0.000001</x:formula>
    </x:cfRule>
  </x:conditionalFormatting>
  <x:conditionalFormatting sqref="D109:F111">
    <x:cfRule type="expression" dxfId="2" priority="3">
      <x:formula>ABS(D109)&gt;0.000001</x:formula>
    </x:cfRule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" hidden="0" customWidth="1"/>
    <x:col min="2" max="2" width="2" hidden="0" customWidth="1"/>
    <x:col min="3" max="3" width="44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1" customHeight="1">
      <x:c r="A2" s="2"/>
      <x:c r="B2" s="2"/>
      <x:c r="C2" s="4" t="str">
        <x:v>Policy and financial reconciliations</x:v>
      </x:c>
      <x:c r="D2" s="5"/>
      <x:c r="E2" s="5"/>
      <x:c r="F2" s="5"/>
      <x:c r="G2" s="5"/>
      <x:c r="H2" s="5"/>
      <x:c r="I2" s="5"/>
      <x:c r="J2" s="5"/>
      <x:c r="K2" s="5"/>
    </x:row>
    <x:row r="3" ht="21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1" customHeight="1">
      <x:c r="A4" s="2"/>
      <x:c r="B4" s="2"/>
      <x:c r="C4" s="2" t="str">
        <x:v>Case selected</x:v>
      </x:c>
      <x:c r="D4" s="10" t="str">
        <x:f>'Assumptions'!D6</x:f>
        <x:v>2 MSFT reference</x:v>
      </x:c>
      <x:c r="E4" s="7"/>
      <x:c r="F4" s="8"/>
      <x:c r="G4" s="2"/>
      <x:c r="H4" s="2"/>
      <x:c r="I4" s="2"/>
      <x:c r="J4" s="2"/>
      <x:c r="K4" s="2"/>
    </x:row>
    <x:row r="5" ht="21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1" customHeight="1">
      <x:c r="A6" s="2"/>
      <x:c r="B6" s="2"/>
      <x:c r="C6" s="2" t="str">
        <x:v>Discounted cash-flow value</x:v>
      </x:c>
      <x:c r="D6" s="51" t="n">
        <x:f>'Policy review'!D6</x:f>
        <x:v>1316560.3705399348</x:v>
      </x:c>
      <x:c r="E6" s="2"/>
      <x:c r="F6" s="2"/>
      <x:c r="G6" s="2"/>
      <x:c r="H6" s="2"/>
      <x:c r="I6" s="2"/>
      <x:c r="J6" s="2"/>
      <x:c r="K6" s="2"/>
    </x:row>
    <x:row r="7" ht="21" customHeight="1">
      <x:c r="A7" s="2"/>
      <x:c r="B7" s="2"/>
      <x:c r="C7" s="2" t="str">
        <x:v>Independent profit-layer value</x:v>
      </x:c>
      <x:c r="D7" s="51" t="n">
        <x:f>SUM(I18:I27)+D32+D33</x:f>
        <x:v>1316560.3705399358</x:v>
      </x:c>
      <x:c r="E7" s="2"/>
      <x:c r="F7" s="2"/>
      <x:c r="G7" s="2"/>
      <x:c r="H7" s="2"/>
      <x:c r="I7" s="2"/>
      <x:c r="J7" s="2"/>
      <x:c r="K7" s="2"/>
    </x:row>
    <x:row r="8" ht="21" customHeight="1">
      <x:c r="A8" s="2"/>
      <x:c r="B8" s="2"/>
      <x:c r="C8" s="2" t="str">
        <x:v>Policy identity residual</x:v>
      </x:c>
      <x:c r="D8" s="51" t="n">
        <x:f>D6-D7</x:f>
        <x:v>-9.313225746154785e-10</x:v>
      </x:c>
      <x:c r="E8" s="2"/>
      <x:c r="F8" s="2"/>
      <x:c r="G8" s="2"/>
      <x:c r="H8" s="2"/>
      <x:c r="I8" s="2"/>
      <x:c r="J8" s="2"/>
      <x:c r="K8" s="2"/>
    </x:row>
    <x:row r="9" ht="21" customHeight="1">
      <x:c r="A9" s="2"/>
      <x:c r="B9" s="2"/>
      <x:c r="C9" s="2" t="str">
        <x:v>Difference from frozen scenario</x:v>
      </x:c>
      <x:c r="D9" s="51" t="n">
        <x:f>D6-INDEX($D$54:$D$62,'Assumptions'!D4)</x:f>
        <x:v>0</x:v>
      </x:c>
      <x:c r="E9" s="2"/>
      <x:c r="F9" s="2" t="str">
        <x:v>Scenario difference can change after edits. The identity residual must remain zero.</x:v>
      </x:c>
      <x:c r="G9" s="2"/>
      <x:c r="H9" s="2"/>
      <x:c r="I9" s="2"/>
      <x:c r="J9" s="2"/>
      <x:c r="K9" s="2"/>
    </x:row>
    <x:row r="10" ht="21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</x:row>
    <x:row r="11" ht="21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</x:row>
    <x:row r="12" ht="21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</x:row>
    <x:row r="13" ht="21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</x:row>
    <x:row r="14" ht="21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</x:row>
    <x:row r="15" ht="21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</x:row>
    <x:row r="16" ht="21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</x:row>
    <x:row r="17" ht="36" customHeight="1">
      <x:c r="A17" s="2"/>
      <x:c r="B17" s="2"/>
      <x:c r="C17" s="19" t="str">
        <x:v>Funding time</x:v>
      </x:c>
      <x:c r="D17" s="20" t="str">
        <x:v>Incremental NOPAT</x:v>
      </x:c>
      <x:c r="E17" s="20" t="str">
        <x:v>Marginal ROIC</x:v>
      </x:c>
      <x:c r="F17" s="20" t="str">
        <x:v>Profit-layer factor</x:v>
      </x:c>
      <x:c r="G17" s="20" t="str">
        <x:v>Discount divisor</x:v>
      </x:c>
      <x:c r="H17" s="20" t="str">
        <x:v>Layer NPV</x:v>
      </x:c>
      <x:c r="I17" s="21" t="str">
        <x:v>Layer present value</x:v>
      </x:c>
      <x:c r="J17" s="2"/>
      <x:c r="K17" s="2"/>
    </x:row>
    <x:row r="18" ht="21" customHeight="1">
      <x:c r="A18" s="2"/>
      <x:c r="B18" s="2"/>
      <x:c r="C18" s="2" t="n">
        <x:f>'Policy review'!C21</x:f>
        <x:v>0</x:v>
      </x:c>
      <x:c r="D18" s="24" t="n">
        <x:f>'Policy review'!G21-'Policy review'!E21</x:f>
        <x:v>9639.600000000006</x:v>
      </x:c>
      <x:c r="E18" s="42" t="n">
        <x:f>'Policy review'!F21</x:f>
        <x:v>0.18</x:v>
      </x:c>
      <x:c r="F18" s="24" t="n">
        <x:f>1/'Assumptions'!$D$12-1/E18</x:f>
        <x:v>4.444444444444445</x:v>
      </x:c>
      <x:c r="G18" s="52" t="n">
        <x:f>'Policy review'!J21</x:f>
        <x:v>1</x:v>
      </x:c>
      <x:c r="H18" s="24" t="n">
        <x:f>D18*F18</x:f>
        <x:v>42842.66666666669</x:v>
      </x:c>
      <x:c r="I18" s="24" t="n">
        <x:f>H18/G18</x:f>
        <x:v>42842.66666666669</x:v>
      </x:c>
      <x:c r="J18" s="2"/>
      <x:c r="K18" s="2"/>
    </x:row>
    <x:row r="19" ht="21" customHeight="1">
      <x:c r="A19" s="2"/>
      <x:c r="B19" s="2"/>
      <x:c r="C19" s="2" t="n">
        <x:f>'Policy review'!C22</x:f>
        <x:v>1</x:v>
      </x:c>
      <x:c r="D19" s="24" t="n">
        <x:f>'Policy review'!G22-'Policy review'!E22</x:f>
        <x:v>10603.560000000012</x:v>
      </x:c>
      <x:c r="E19" s="42" t="n">
        <x:f>'Policy review'!F22</x:f>
        <x:v>0.18</x:v>
      </x:c>
      <x:c r="F19" s="24" t="n">
        <x:f>1/'Assumptions'!$D$12-1/E19</x:f>
        <x:v>4.444444444444445</x:v>
      </x:c>
      <x:c r="G19" s="52" t="n">
        <x:f>'Policy review'!J22</x:f>
        <x:v>1.1</x:v>
      </x:c>
      <x:c r="H19" s="24" t="n">
        <x:f>D19*F19</x:f>
        <x:v>47126.93333333339</x:v>
      </x:c>
      <x:c r="I19" s="24" t="n">
        <x:f>H19/G19</x:f>
        <x:v>42842.666666666715</x:v>
      </x:c>
      <x:c r="J19" s="2"/>
      <x:c r="K19" s="2"/>
    </x:row>
    <x:row r="20" ht="21" customHeight="1">
      <x:c r="A20" s="2"/>
      <x:c r="B20" s="2"/>
      <x:c r="C20" s="2" t="n">
        <x:f>'Policy review'!C23</x:f>
        <x:v>2</x:v>
      </x:c>
      <x:c r="D20" s="24" t="n">
        <x:f>'Policy review'!G23-'Policy review'!E23</x:f>
        <x:v>11663.916000000012</x:v>
      </x:c>
      <x:c r="E20" s="42" t="n">
        <x:f>'Policy review'!F23</x:f>
        <x:v>0.18</x:v>
      </x:c>
      <x:c r="F20" s="24" t="n">
        <x:f>1/'Assumptions'!$D$12-1/E20</x:f>
        <x:v>4.444444444444445</x:v>
      </x:c>
      <x:c r="G20" s="52" t="n">
        <x:f>'Policy review'!J23</x:f>
        <x:v>1.2100000000000002</x:v>
      </x:c>
      <x:c r="H20" s="24" t="n">
        <x:f>D20*F20</x:f>
        <x:v>51839.62666666672</x:v>
      </x:c>
      <x:c r="I20" s="24" t="n">
        <x:f>H20/G20</x:f>
        <x:v>42842.66666666671</x:v>
      </x:c>
      <x:c r="J20" s="2"/>
      <x:c r="K20" s="2"/>
    </x:row>
    <x:row r="21" ht="21" customHeight="1">
      <x:c r="A21" s="2"/>
      <x:c r="B21" s="2"/>
      <x:c r="C21" s="2" t="n">
        <x:f>'Policy review'!C24</x:f>
        <x:v>3</x:v>
      </x:c>
      <x:c r="D21" s="24" t="n">
        <x:f>'Policy review'!G24-'Policy review'!E24</x:f>
        <x:v>12830.3076</x:v>
      </x:c>
      <x:c r="E21" s="42" t="n">
        <x:f>'Policy review'!F24</x:f>
        <x:v>0.18</x:v>
      </x:c>
      <x:c r="F21" s="24" t="n">
        <x:f>1/'Assumptions'!$D$12-1/E21</x:f>
        <x:v>4.444444444444445</x:v>
      </x:c>
      <x:c r="G21" s="52" t="n">
        <x:f>'Policy review'!J24</x:f>
        <x:v>1.3310000000000004</x:v>
      </x:c>
      <x:c r="H21" s="24" t="n">
        <x:f>D21*F21</x:f>
        <x:v>57023.58933333334</x:v>
      </x:c>
      <x:c r="I21" s="24" t="n">
        <x:f>H21/G21</x:f>
        <x:v>42842.66666666666</x:v>
      </x:c>
      <x:c r="J21" s="2"/>
      <x:c r="K21" s="2"/>
    </x:row>
    <x:row r="22" ht="21" customHeight="1">
      <x:c r="A22" s="2"/>
      <x:c r="B22" s="2"/>
      <x:c r="C22" s="2" t="n">
        <x:f>'Policy review'!C25</x:f>
        <x:v>4</x:v>
      </x:c>
      <x:c r="D22" s="24" t="n">
        <x:f>'Policy review'!G25-'Policy review'!E25</x:f>
        <x:v>14113.338360000023</x:v>
      </x:c>
      <x:c r="E22" s="42" t="n">
        <x:f>'Policy review'!F25</x:f>
        <x:v>0.18</x:v>
      </x:c>
      <x:c r="F22" s="24" t="n">
        <x:f>1/'Assumptions'!$D$12-1/E22</x:f>
        <x:v>4.444444444444445</x:v>
      </x:c>
      <x:c r="G22" s="52" t="n">
        <x:f>'Policy review'!J25</x:f>
        <x:v>1.4641000000000004</x:v>
      </x:c>
      <x:c r="H22" s="24" t="n">
        <x:f>D22*F22</x:f>
        <x:v>62725.948266666775</x:v>
      </x:c>
      <x:c r="I22" s="24" t="n">
        <x:f>H22/G22</x:f>
        <x:v>42842.66666666673</x:v>
      </x:c>
      <x:c r="J22" s="2"/>
      <x:c r="K22" s="2"/>
    </x:row>
    <x:row r="23" ht="21" customHeight="1">
      <x:c r="A23" s="2"/>
      <x:c r="B23" s="2"/>
      <x:c r="C23" s="2" t="n">
        <x:f>'Policy review'!C26</x:f>
        <x:v>5</x:v>
      </x:c>
      <x:c r="D23" s="24" t="n">
        <x:f>'Policy review'!G26-'Policy review'!E26</x:f>
        <x:v>13195.971366599988</x:v>
      </x:c>
      <x:c r="E23" s="42" t="n">
        <x:f>'Policy review'!F26</x:f>
        <x:v>0.16999999999999998</x:v>
      </x:c>
      <x:c r="F23" s="24" t="n">
        <x:f>1/'Assumptions'!$D$12-1/E23</x:f>
        <x:v>4.117647058823529</x:v>
      </x:c>
      <x:c r="G23" s="52" t="n">
        <x:f>'Policy review'!J26</x:f>
        <x:v>1.6105100000000006</x:v>
      </x:c>
      <x:c r="H23" s="24" t="n">
        <x:f>D23*F23</x:f>
        <x:v>54336.35268599995</x:v>
      </x:c>
      <x:c r="I23" s="24" t="n">
        <x:f>H23/G23</x:f>
        <x:v>33738.599999999955</x:v>
      </x:c>
      <x:c r="J23" s="2"/>
      <x:c r="K23" s="2"/>
    </x:row>
    <x:row r="24" ht="21" customHeight="1">
      <x:c r="A24" s="2"/>
      <x:c r="B24" s="2"/>
      <x:c r="C24" s="2" t="n">
        <x:f>'Policy review'!C27</x:f>
        <x:v>6</x:v>
      </x:c>
      <x:c r="D24" s="24" t="n">
        <x:f>'Policy review'!G27-'Policy review'!E27</x:f>
        <x:v>11790.988532862015</x:v>
      </x:c>
      <x:c r="E24" s="42" t="n">
        <x:f>'Policy review'!F27</x:f>
        <x:v>0.16</x:v>
      </x:c>
      <x:c r="F24" s="24" t="n">
        <x:f>1/'Assumptions'!$D$12-1/E24</x:f>
        <x:v>3.75</x:v>
      </x:c>
      <x:c r="G24" s="52" t="n">
        <x:f>'Policy review'!J27</x:f>
        <x:v>1.7715610000000008</x:v>
      </x:c>
      <x:c r="H24" s="24" t="n">
        <x:f>D24*F24</x:f>
        <x:v>44216.206998232556</x:v>
      </x:c>
      <x:c r="I24" s="24" t="n">
        <x:f>H24/G24</x:f>
        <x:v>24958.896136363655</x:v>
      </x:c>
      <x:c r="J24" s="2"/>
      <x:c r="K24" s="2"/>
    </x:row>
    <x:row r="25" ht="21" customHeight="1">
      <x:c r="A25" s="2"/>
      <x:c r="B25" s="2"/>
      <x:c r="C25" s="2" t="n">
        <x:f>'Policy review'!C28</x:f>
        <x:v>7</x:v>
      </x:c>
      <x:c r="D25" s="24" t="n">
        <x:f>'Policy review'!G28-'Policy review'!E28</x:f>
        <x:v>9912.852502270398</x:v>
      </x:c>
      <x:c r="E25" s="42" t="n">
        <x:f>'Policy review'!F28</x:f>
        <x:v>0.15</x:v>
      </x:c>
      <x:c r="F25" s="24" t="n">
        <x:f>1/'Assumptions'!$D$12-1/E25</x:f>
        <x:v>3.333333333333333</x:v>
      </x:c>
      <x:c r="G25" s="52" t="n">
        <x:f>'Policy review'!J28</x:f>
        <x:v>1.9487171000000012</x:v>
      </x:c>
      <x:c r="H25" s="24" t="n">
        <x:f>D25*F25</x:f>
        <x:v>33042.84167423466</x:v>
      </x:c>
      <x:c r="I25" s="24" t="n">
        <x:f>H25/G25</x:f>
        <x:v>16956.202454545422</x:v>
      </x:c>
      <x:c r="J25" s="2"/>
      <x:c r="K25" s="2"/>
    </x:row>
    <x:row r="26" ht="21" customHeight="1">
      <x:c r="A26" s="2"/>
      <x:c r="B26" s="2"/>
      <x:c r="C26" s="2" t="n">
        <x:f>'Policy review'!C29</x:f>
        <x:v>8</x:v>
      </x:c>
      <x:c r="D26" s="24" t="n">
        <x:f>'Policy review'!G29-'Policy review'!E29</x:f>
        <x:v>7605.861374469299</x:v>
      </x:c>
      <x:c r="E26" s="42" t="n">
        <x:f>'Policy review'!F29</x:f>
        <x:v>0.13999999999999999</x:v>
      </x:c>
      <x:c r="F26" s="24" t="n">
        <x:f>1/'Assumptions'!$D$12-1/E26</x:f>
        <x:v>2.8571428571428568</x:v>
      </x:c>
      <x:c r="G26" s="52" t="n">
        <x:f>'Policy review'!J29</x:f>
        <x:v>2.1435888100000016</x:v>
      </x:c>
      <x:c r="H26" s="24" t="n">
        <x:f>D26*F26</x:f>
        <x:v>21731.03249848371</x:v>
      </x:c>
      <x:c r="I26" s="24" t="n">
        <x:f>H26/G26</x:f>
        <x:v>10137.687040120205</x:v>
      </x:c>
      <x:c r="J26" s="2"/>
      <x:c r="K26" s="2"/>
    </x:row>
    <x:row r="27" ht="21" customHeight="1">
      <x:c r="A27" s="2"/>
      <x:c r="B27" s="2"/>
      <x:c r="C27" s="2" t="n">
        <x:f>'Policy review'!C30</x:f>
        <x:v>9</x:v>
      </x:c>
      <x:c r="D27" s="24" t="n">
        <x:f>'Policy review'!G30-'Policy review'!E30</x:f>
        <x:v>4943.809893405036</x:v>
      </x:c>
      <x:c r="E27" s="42" t="n">
        <x:f>'Policy review'!F30</x:f>
        <x:v>0.13</x:v>
      </x:c>
      <x:c r="F27" s="24" t="n">
        <x:f>1/'Assumptions'!$D$12-1/E27</x:f>
        <x:v>2.3076923076923084</x:v>
      </x:c>
      <x:c r="G27" s="52" t="n">
        <x:f>'Policy review'!J30</x:f>
        <x:v>2.357947691000002</x:v>
      </x:c>
      <x:c r="H27" s="24" t="n">
        <x:f>D27*F27</x:f>
        <x:v>11408.792061703933</x:v>
      </x:c>
      <x:c r="I27" s="24" t="n">
        <x:f>H27/G27</x:f>
        <x:v>4838.441541875546</x:v>
      </x:c>
      <x:c r="J27" s="2"/>
      <x:c r="K27" s="2"/>
    </x:row>
    <x:row r="28" ht="21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</x:row>
    <x:row r="29" ht="21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</x:row>
    <x:row r="31" ht="21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  <x:row r="32" ht="21" customHeight="1">
      <x:c r="A32" s="2"/>
      <x:c r="B32" s="2"/>
      <x:c r="C32" s="2" t="str">
        <x:v>Base profit perpetuity</x:v>
      </x:c>
      <x:c r="D32" s="24" t="n">
        <x:f>'Policy review'!E21/'Assumptions'!$D$12</x:f>
        <x:v>963960</x:v>
      </x:c>
      <x:c r="E32" s="2"/>
      <x:c r="F32" s="2"/>
      <x:c r="G32" s="2"/>
      <x:c r="H32" s="2"/>
      <x:c r="I32" s="2"/>
      <x:c r="J32" s="2"/>
      <x:c r="K32" s="2"/>
    </x:row>
    <x:row r="33" ht="21" customHeight="1">
      <x:c r="A33" s="2"/>
      <x:c r="B33" s="2"/>
      <x:c r="C33" s="2" t="str">
        <x:v>Infinite terminal profit layers</x:v>
      </x:c>
      <x:c r="D33" s="24" t="n">
        <x:f>'Policy review'!E31*'Assumptions'!$D$11*(1/'Assumptions'!$D$12-1/'Assumptions'!$D$10)*(1+'Assumptions'!$D$12)/('Assumptions'!$D$12-'Assumptions'!$D$11)/'Policy review'!J31</x:f>
        <x:v>47757.21003369756</x:v>
      </x:c>
      <x:c r="E33" s="2"/>
      <x:c r="F33" s="2"/>
      <x:c r="G33" s="2"/>
      <x:c r="H33" s="2"/>
      <x:c r="I33" s="2"/>
      <x:c r="J33" s="2"/>
      <x:c r="K33" s="2"/>
    </x:row>
    <x:row r="34" ht="21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</x:row>
    <x:row r="35" ht="21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</x:row>
    <x:row r="36" ht="21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</x:row>
    <x:row r="37" ht="24" customHeight="1">
      <x:c r="A37" s="2"/>
      <x:c r="B37" s="2"/>
      <x:c r="C37" s="49" t="str">
        <x:v>Financial identity differences (USD millions)</x:v>
      </x:c>
      <x:c r="D37" s="49"/>
      <x:c r="E37" s="49"/>
      <x:c r="F37" s="49"/>
      <x:c r="G37" s="2"/>
      <x:c r="H37" s="2"/>
      <x:c r="I37" s="2"/>
      <x:c r="J37" s="2"/>
      <x:c r="K37" s="2"/>
    </x:row>
    <x:row r="38" ht="21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</x:row>
    <x:row r="39" ht="36" customHeight="1">
      <x:c r="A39" s="2"/>
      <x:c r="B39" s="2"/>
      <x:c r="C39" s="19" t="str">
        <x:v>Report</x:v>
      </x:c>
      <x:c r="D39" s="20" t="str">
        <x:v>Assets less liabilities and equity</x:v>
      </x:c>
      <x:c r="E39" s="20" t="str">
        <x:v>Cash-flow sum less cash change</x:v>
      </x:c>
      <x:c r="F39" s="21" t="str">
        <x:v>Ending-cash bridge</x:v>
      </x:c>
      <x:c r="G39" s="2"/>
      <x:c r="H39" s="2"/>
      <x:c r="I39" s="2"/>
      <x:c r="J39" s="2"/>
      <x:c r="K39" s="2"/>
    </x:row>
    <x:row r="40" ht="21" customHeight="1">
      <x:c r="A40" s="2"/>
      <x:c r="B40" s="2"/>
      <x:c r="C40" s="2" t="str">
        <x:v>MSFT_2023</x:v>
      </x:c>
      <x:c r="D40" s="51" t="n">
        <x:f>'Statements'!D36</x:f>
        <x:v>0</x:v>
      </x:c>
      <x:c r="E40" s="51" t="n">
        <x:f>'Statements'!D35</x:f>
        <x:v>0</x:v>
      </x:c>
      <x:c r="F40" s="51" t="n">
        <x:f>'Statements'!D37</x:f>
        <x:v>0</x:v>
      </x:c>
      <x:c r="G40" s="2"/>
      <x:c r="H40" s="2"/>
      <x:c r="I40" s="2"/>
      <x:c r="J40" s="2"/>
      <x:c r="K40" s="2"/>
    </x:row>
    <x:row r="41" ht="21" customHeight="1">
      <x:c r="A41" s="2"/>
      <x:c r="B41" s="2"/>
      <x:c r="C41" s="2" t="str">
        <x:v>MSFT_2024</x:v>
      </x:c>
      <x:c r="D41" s="51" t="n">
        <x:f>'Statements'!E36</x:f>
        <x:v>0</x:v>
      </x:c>
      <x:c r="E41" s="51" t="n">
        <x:f>'Statements'!E35</x:f>
        <x:v>0</x:v>
      </x:c>
      <x:c r="F41" s="51" t="n">
        <x:f>'Statements'!E37</x:f>
        <x:v>0</x:v>
      </x:c>
      <x:c r="G41" s="2"/>
      <x:c r="H41" s="2"/>
      <x:c r="I41" s="2"/>
      <x:c r="J41" s="2"/>
      <x:c r="K41" s="2"/>
    </x:row>
    <x:row r="42" ht="21" customHeight="1">
      <x:c r="A42" s="2"/>
      <x:c r="B42" s="2"/>
      <x:c r="C42" s="2" t="str">
        <x:v>MSFT_2025</x:v>
      </x:c>
      <x:c r="D42" s="51" t="n">
        <x:f>'Statements'!F36</x:f>
        <x:v>0</x:v>
      </x:c>
      <x:c r="E42" s="51" t="n">
        <x:f>'Statements'!F35</x:f>
        <x:v>0</x:v>
      </x:c>
      <x:c r="F42" s="51" t="n">
        <x:f>'Statements'!F37</x:f>
        <x:v>0</x:v>
      </x:c>
      <x:c r="G42" s="2"/>
      <x:c r="H42" s="2"/>
      <x:c r="I42" s="2"/>
      <x:c r="J42" s="2"/>
      <x:c r="K42" s="2"/>
    </x:row>
    <x:row r="43" ht="21" customHeight="1">
      <x:c r="A43" s="2"/>
      <x:c r="B43" s="2"/>
      <x:c r="C43" s="2" t="str">
        <x:v>TGT_2023</x:v>
      </x:c>
      <x:c r="D43" s="51" t="n">
        <x:f>'Statements'!D73</x:f>
        <x:v>0</x:v>
      </x:c>
      <x:c r="E43" s="51" t="n">
        <x:f>'Statements'!D72</x:f>
        <x:v>0</x:v>
      </x:c>
      <x:c r="F43" s="51" t="n">
        <x:f>'Statements'!D74</x:f>
        <x:v>0</x:v>
      </x:c>
      <x:c r="G43" s="2"/>
      <x:c r="H43" s="2"/>
      <x:c r="I43" s="2"/>
      <x:c r="J43" s="2"/>
      <x:c r="K43" s="2"/>
    </x:row>
    <x:row r="44" ht="21" customHeight="1">
      <x:c r="A44" s="2"/>
      <x:c r="B44" s="2"/>
      <x:c r="C44" s="2" t="str">
        <x:v>TGT_2024</x:v>
      </x:c>
      <x:c r="D44" s="51" t="n">
        <x:f>'Statements'!E73</x:f>
        <x:v>0</x:v>
      </x:c>
      <x:c r="E44" s="51" t="n">
        <x:f>'Statements'!E72</x:f>
        <x:v>0</x:v>
      </x:c>
      <x:c r="F44" s="51" t="n">
        <x:f>'Statements'!E74</x:f>
        <x:v>0</x:v>
      </x:c>
      <x:c r="G44" s="2"/>
      <x:c r="H44" s="2"/>
      <x:c r="I44" s="2"/>
      <x:c r="J44" s="2"/>
      <x:c r="K44" s="2"/>
    </x:row>
    <x:row r="45" ht="21" customHeight="1">
      <x:c r="A45" s="2"/>
      <x:c r="B45" s="2"/>
      <x:c r="C45" s="2" t="str">
        <x:v>TGT_2025</x:v>
      </x:c>
      <x:c r="D45" s="51" t="n">
        <x:f>'Statements'!F73</x:f>
        <x:v>0</x:v>
      </x:c>
      <x:c r="E45" s="51" t="n">
        <x:f>'Statements'!F72</x:f>
        <x:v>0</x:v>
      </x:c>
      <x:c r="F45" s="51" t="n">
        <x:f>'Statements'!F74</x:f>
        <x:v>0</x:v>
      </x:c>
      <x:c r="G45" s="2"/>
      <x:c r="H45" s="2"/>
      <x:c r="I45" s="2"/>
      <x:c r="J45" s="2"/>
      <x:c r="K45" s="2"/>
    </x:row>
    <x:row r="46" ht="21" customHeight="1">
      <x:c r="A46" s="2"/>
      <x:c r="B46" s="2"/>
      <x:c r="C46" s="2" t="str">
        <x:v>INFY_2023</x:v>
      </x:c>
      <x:c r="D46" s="51" t="n">
        <x:f>'Statements'!D110</x:f>
        <x:v>0</x:v>
      </x:c>
      <x:c r="E46" s="51" t="n">
        <x:f>'Statements'!D109</x:f>
        <x:v>0</x:v>
      </x:c>
      <x:c r="F46" s="51" t="n">
        <x:f>'Statements'!D111</x:f>
        <x:v>0</x:v>
      </x:c>
      <x:c r="G46" s="2"/>
      <x:c r="H46" s="2"/>
      <x:c r="I46" s="2"/>
      <x:c r="J46" s="2"/>
      <x:c r="K46" s="2"/>
    </x:row>
    <x:row r="47" ht="21" customHeight="1">
      <x:c r="A47" s="2"/>
      <x:c r="B47" s="2"/>
      <x:c r="C47" s="2" t="str">
        <x:v>INFY_2024</x:v>
      </x:c>
      <x:c r="D47" s="51" t="n">
        <x:f>'Statements'!E110</x:f>
        <x:v>0</x:v>
      </x:c>
      <x:c r="E47" s="51" t="n">
        <x:f>'Statements'!E109</x:f>
        <x:v>0</x:v>
      </x:c>
      <x:c r="F47" s="51" t="n">
        <x:f>'Statements'!E111</x:f>
        <x:v>0</x:v>
      </x:c>
      <x:c r="G47" s="2"/>
      <x:c r="H47" s="2"/>
      <x:c r="I47" s="2"/>
      <x:c r="J47" s="2"/>
      <x:c r="K47" s="2"/>
    </x:row>
    <x:row r="48" ht="21" customHeight="1">
      <x:c r="A48" s="2"/>
      <x:c r="B48" s="2"/>
      <x:c r="C48" s="2" t="str">
        <x:v>INFY_2025</x:v>
      </x:c>
      <x:c r="D48" s="51" t="n">
        <x:f>'Statements'!F110</x:f>
        <x:v>0</x:v>
      </x:c>
      <x:c r="E48" s="51" t="n">
        <x:f>'Statements'!F109</x:f>
        <x:v>0</x:v>
      </x:c>
      <x:c r="F48" s="51" t="n">
        <x:f>'Statements'!F111</x:f>
        <x:v>0</x:v>
      </x:c>
      <x:c r="G48" s="2"/>
      <x:c r="H48" s="2"/>
      <x:c r="I48" s="2"/>
      <x:c r="J48" s="2"/>
      <x:c r="K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</x:row>
    <x:row r="52" ht="24" customHeight="1">
      <x:c r="A52" s="2"/>
      <x:c r="B52" s="2"/>
      <x:c r="C52" s="49" t="str">
        <x:v>Frozen Python scenario references (USD millions)</x:v>
      </x:c>
      <x:c r="D52" s="49"/>
      <x:c r="E52" s="2"/>
      <x:c r="F52" s="2"/>
      <x:c r="G52" s="2"/>
      <x:c r="H52" s="2"/>
      <x:c r="I52" s="2"/>
      <x:c r="J52" s="2"/>
      <x:c r="K52" s="2"/>
    </x:row>
    <x:row r="53" ht="36" customHeight="1">
      <x:c r="A53" s="2"/>
      <x:c r="B53" s="2"/>
      <x:c r="C53" s="19" t="str">
        <x:v>Scenario</x:v>
      </x:c>
      <x:c r="D53" s="21" t="str">
        <x:v>Sealed value</x:v>
      </x:c>
      <x:c r="E53" s="2"/>
      <x:c r="F53" s="2"/>
      <x:c r="G53" s="2"/>
      <x:c r="H53" s="2"/>
      <x:c r="I53" s="2"/>
      <x:c r="J53" s="2"/>
      <x:c r="K53" s="2"/>
    </x:row>
    <x:row r="54" ht="21" customHeight="1">
      <x:c r="A54" s="2"/>
      <x:c r="B54" s="2"/>
      <x:c r="C54" s="2" t="str">
        <x:v>MSFT downside</x:v>
      </x:c>
      <x:c r="D54" s="24" t="n">
        <x:v>963959.9999999993</x:v>
      </x:c>
      <x:c r="E54" s="2"/>
      <x:c r="F54" s="2"/>
      <x:c r="G54" s="2"/>
      <x:c r="H54" s="2"/>
      <x:c r="I54" s="2"/>
      <x:c r="J54" s="2"/>
      <x:c r="K54" s="2"/>
    </x:row>
    <x:row r="55" ht="21" customHeight="1">
      <x:c r="A55" s="2"/>
      <x:c r="B55" s="2"/>
      <x:c r="C55" s="2" t="str">
        <x:v>MSFT reference</x:v>
      </x:c>
      <x:c r="D55" s="24" t="n">
        <x:v>1316560.3705399348</x:v>
      </x:c>
      <x:c r="E55" s="2"/>
      <x:c r="F55" s="2"/>
      <x:c r="G55" s="2"/>
      <x:c r="H55" s="2"/>
      <x:c r="I55" s="2"/>
      <x:c r="J55" s="2"/>
      <x:c r="K55" s="2"/>
    </x:row>
    <x:row r="56" ht="21" customHeight="1">
      <x:c r="A56" s="2"/>
      <x:c r="B56" s="2"/>
      <x:c r="C56" s="2" t="str">
        <x:v>MSFT expansion</x:v>
      </x:c>
      <x:c r="D56" s="24" t="n">
        <x:v>1855713.0897227111</x:v>
      </x:c>
      <x:c r="E56" s="2"/>
      <x:c r="F56" s="2"/>
      <x:c r="G56" s="2"/>
      <x:c r="H56" s="2"/>
      <x:c r="I56" s="2"/>
      <x:c r="J56" s="2"/>
      <x:c r="K56" s="2"/>
    </x:row>
    <x:row r="57" ht="21" customHeight="1">
      <x:c r="A57" s="2"/>
      <x:c r="B57" s="2"/>
      <x:c r="C57" s="2" t="str">
        <x:v>TGT downside</x:v>
      </x:c>
      <x:c r="D57" s="24" t="n">
        <x:v>37731.59689694647</x:v>
      </x:c>
      <x:c r="E57" s="2"/>
      <x:c r="F57" s="2"/>
      <x:c r="G57" s="2"/>
      <x:c r="H57" s="2"/>
      <x:c r="I57" s="2"/>
      <x:c r="J57" s="2"/>
      <x:c r="K57" s="2"/>
    </x:row>
    <x:row r="58" ht="21" customHeight="1">
      <x:c r="A58" s="2"/>
      <x:c r="B58" s="2"/>
      <x:c r="C58" s="2" t="str">
        <x:v>TGT reference</x:v>
      </x:c>
      <x:c r="D58" s="24" t="n">
        <x:v>39143.0861196015</x:v>
      </x:c>
      <x:c r="E58" s="2"/>
      <x:c r="F58" s="2"/>
      <x:c r="G58" s="2"/>
      <x:c r="H58" s="2"/>
      <x:c r="I58" s="2"/>
      <x:c r="J58" s="2"/>
      <x:c r="K58" s="2"/>
    </x:row>
    <x:row r="59" ht="21" customHeight="1">
      <x:c r="A59" s="2"/>
      <x:c r="B59" s="2"/>
      <x:c r="C59" s="2" t="str">
        <x:v>TGT expansion</x:v>
      </x:c>
      <x:c r="D59" s="24" t="n">
        <x:v>44096.054699703534</x:v>
      </x:c>
      <x:c r="E59" s="2"/>
      <x:c r="F59" s="2"/>
      <x:c r="G59" s="2"/>
      <x:c r="H59" s="2"/>
      <x:c r="I59" s="2"/>
      <x:c r="J59" s="2"/>
      <x:c r="K59" s="2"/>
    </x:row>
    <x:row r="60" ht="21" customHeight="1">
      <x:c r="A60" s="2"/>
      <x:c r="B60" s="2"/>
      <x:c r="C60" s="2" t="str">
        <x:v>INFY downside</x:v>
      </x:c>
      <x:c r="D60" s="24" t="n">
        <x:v>30532.499999999978</x:v>
      </x:c>
      <x:c r="E60" s="2"/>
      <x:c r="F60" s="2"/>
      <x:c r="G60" s="2"/>
      <x:c r="H60" s="2"/>
      <x:c r="I60" s="2"/>
      <x:c r="J60" s="2"/>
      <x:c r="K60" s="2"/>
    </x:row>
    <x:row r="61" ht="21" customHeight="1">
      <x:c r="A61" s="2"/>
      <x:c r="B61" s="2"/>
      <x:c r="C61" s="2" t="str">
        <x:v>INFY reference</x:v>
      </x:c>
      <x:c r="D61" s="24" t="n">
        <x:v>35379.31748055826</x:v>
      </x:c>
      <x:c r="E61" s="2"/>
      <x:c r="F61" s="2"/>
      <x:c r="G61" s="2"/>
      <x:c r="H61" s="2"/>
      <x:c r="I61" s="2"/>
      <x:c r="J61" s="2"/>
      <x:c r="K61" s="2"/>
    </x:row>
    <x:row r="62" ht="21" customHeight="1">
      <x:c r="A62" s="2"/>
      <x:c r="B62" s="2"/>
      <x:c r="C62" s="2" t="str">
        <x:v>INFY expansion</x:v>
      </x:c>
      <x:c r="D62" s="24" t="n">
        <x:v>43527.97370075294</x:v>
      </x:c>
      <x:c r="E62" s="2"/>
      <x:c r="F62" s="2"/>
      <x:c r="G62" s="2"/>
      <x:c r="H62" s="2"/>
      <x:c r="I62" s="2"/>
      <x:c r="J62" s="2"/>
      <x:c r="K62" s="2"/>
    </x:row>
    <x:row r="63" ht="21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</x:row>
    <x:row r="64" ht="21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</x:row>
    <x:row r="65" ht="21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</x:row>
  </x:sheetData>
  <x:conditionalFormatting sqref="D8:D8">
    <x:cfRule type="expression" dxfId="3" priority="1">
      <x:formula>ABS(D8)&gt;0.000001</x:formula>
    </x:cfRule>
  </x:conditionalFormatting>
  <x:conditionalFormatting sqref="D40:F48">
    <x:cfRule type="expression" dxfId="4" priority="2">
      <x:formula>ABS(D40)&gt;0.000001</x:formula>
    </x:cfRule>
  </x:conditionalFormatting>
  <x:pageMargins left="0.7" right="0.7" top="0.75" bottom="0.75" header="0.3" footer="0.3"/>
</x:worksheet>
</file>